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katielynnemorton/Desktop/"/>
    </mc:Choice>
  </mc:AlternateContent>
  <xr:revisionPtr revIDLastSave="0" documentId="8_{8CADBAB3-3A20-DD42-9FDC-F4D99067D4DD}" xr6:coauthVersionLast="47" xr6:coauthVersionMax="47" xr10:uidLastSave="{00000000-0000-0000-0000-000000000000}"/>
  <bookViews>
    <workbookView xWindow="4340" yWindow="500" windowWidth="24460" windowHeight="16100" xr2:uid="{E58AFF84-E4D1-4C2D-84CC-3187C88EF0EA}"/>
  </bookViews>
  <sheets>
    <sheet name="Institution Summary" sheetId="24" r:id="rId1"/>
    <sheet name="Institutional Base Calc" sheetId="27" r:id="rId2"/>
    <sheet name="Instituional Equity Calc" sheetId="14" r:id="rId3"/>
    <sheet name="ESS Calculation" sheetId="33" r:id="rId4"/>
    <sheet name="School Data" sheetId="55" r:id="rId5"/>
    <sheet name="Model Costs and Assumptions" sheetId="54" r:id="rId6"/>
    <sheet name="School Size Adjustment" sheetId="5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5" i="14" l="1"/>
  <c r="Y17" i="27"/>
  <c r="B3" i="53"/>
  <c r="B4" i="53"/>
  <c r="B5" i="53"/>
  <c r="B6" i="53"/>
  <c r="B7" i="53"/>
  <c r="B8" i="53"/>
  <c r="B9" i="53"/>
  <c r="B10" i="53"/>
  <c r="B11" i="53"/>
  <c r="B12" i="53"/>
  <c r="B13" i="53"/>
  <c r="B2" i="53"/>
  <c r="V5" i="27"/>
  <c r="W5" i="27"/>
  <c r="G41" i="24" l="1"/>
  <c r="G42" i="24"/>
  <c r="G43" i="24"/>
  <c r="G44" i="24"/>
  <c r="G45" i="24"/>
  <c r="G46" i="24"/>
  <c r="G47" i="24"/>
  <c r="G48" i="24"/>
  <c r="G49" i="24"/>
  <c r="G50" i="24"/>
  <c r="G51" i="24"/>
  <c r="G52" i="24"/>
  <c r="G53" i="24"/>
  <c r="I7" i="27" l="1"/>
  <c r="I8" i="27"/>
  <c r="I9" i="27"/>
  <c r="I10" i="27"/>
  <c r="I11" i="27"/>
  <c r="I12" i="27"/>
  <c r="I13" i="27"/>
  <c r="I14" i="27"/>
  <c r="I15" i="27"/>
  <c r="I16" i="27"/>
  <c r="I17" i="27"/>
  <c r="I18" i="27"/>
  <c r="I6" i="27"/>
  <c r="H6" i="27"/>
  <c r="R2" i="14"/>
  <c r="P2" i="14" l="1"/>
  <c r="X15" i="55"/>
  <c r="C6" i="24"/>
  <c r="C7" i="24"/>
  <c r="C8" i="24"/>
  <c r="C9" i="24"/>
  <c r="C10" i="24"/>
  <c r="C11" i="24"/>
  <c r="C12" i="24"/>
  <c r="C13" i="24"/>
  <c r="C14" i="24"/>
  <c r="C15" i="24"/>
  <c r="C16" i="24"/>
  <c r="C17" i="24"/>
  <c r="C5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41" i="24"/>
  <c r="I15" i="33"/>
  <c r="I4" i="33"/>
  <c r="I5" i="33"/>
  <c r="I6" i="33"/>
  <c r="I7" i="33"/>
  <c r="I8" i="33"/>
  <c r="I9" i="33"/>
  <c r="I10" i="33"/>
  <c r="I11" i="33"/>
  <c r="I12" i="33"/>
  <c r="I13" i="33"/>
  <c r="I14" i="33"/>
  <c r="I3" i="33"/>
  <c r="T4" i="55"/>
  <c r="G6" i="14" s="1"/>
  <c r="T5" i="55"/>
  <c r="G7" i="14" s="1"/>
  <c r="T7" i="55"/>
  <c r="G9" i="14" s="1"/>
  <c r="T10" i="55"/>
  <c r="G12" i="14" s="1"/>
  <c r="T12" i="55"/>
  <c r="G14" i="14" s="1"/>
  <c r="T13" i="55"/>
  <c r="G15" i="14" s="1"/>
  <c r="T3" i="55"/>
  <c r="G5" i="14" s="1"/>
  <c r="S4" i="55"/>
  <c r="S5" i="55"/>
  <c r="S6" i="55"/>
  <c r="T6" i="55" s="1"/>
  <c r="G8" i="14" s="1"/>
  <c r="S7" i="55"/>
  <c r="S8" i="55"/>
  <c r="T8" i="55" s="1"/>
  <c r="G10" i="14" s="1"/>
  <c r="S9" i="55"/>
  <c r="T9" i="55" s="1"/>
  <c r="G11" i="14" s="1"/>
  <c r="S10" i="55"/>
  <c r="S11" i="55"/>
  <c r="T11" i="55" s="1"/>
  <c r="G13" i="14" s="1"/>
  <c r="S12" i="55"/>
  <c r="S13" i="55"/>
  <c r="S14" i="55"/>
  <c r="T14" i="55" s="1"/>
  <c r="G16" i="14" s="1"/>
  <c r="S3" i="55"/>
  <c r="C14" i="33"/>
  <c r="C4" i="33"/>
  <c r="C5" i="33"/>
  <c r="C6" i="33"/>
  <c r="C7" i="33"/>
  <c r="C8" i="33"/>
  <c r="C9" i="33"/>
  <c r="C10" i="33"/>
  <c r="C11" i="33"/>
  <c r="C12" i="33"/>
  <c r="C13" i="33"/>
  <c r="C3" i="33"/>
  <c r="Q2" i="14"/>
  <c r="O2" i="14"/>
  <c r="N2" i="14"/>
  <c r="M2" i="14"/>
  <c r="L2" i="14"/>
  <c r="K2" i="14"/>
  <c r="J2" i="14"/>
  <c r="I2" i="14"/>
  <c r="I5" i="14" s="1"/>
  <c r="H2" i="14"/>
  <c r="C6" i="14"/>
  <c r="C7" i="14"/>
  <c r="C8" i="14"/>
  <c r="C9" i="14"/>
  <c r="R9" i="14" s="1"/>
  <c r="C10" i="14"/>
  <c r="R10" i="14" s="1"/>
  <c r="C11" i="14"/>
  <c r="R11" i="14" s="1"/>
  <c r="C12" i="14"/>
  <c r="C13" i="14"/>
  <c r="C14" i="14"/>
  <c r="C15" i="14"/>
  <c r="C16" i="14"/>
  <c r="C5" i="14"/>
  <c r="R5" i="14" s="1"/>
  <c r="C7" i="27"/>
  <c r="C8" i="27"/>
  <c r="C9" i="27"/>
  <c r="C10" i="27"/>
  <c r="C11" i="27"/>
  <c r="C12" i="27"/>
  <c r="C13" i="27"/>
  <c r="C14" i="27"/>
  <c r="C15" i="27"/>
  <c r="C16" i="27"/>
  <c r="C17" i="27"/>
  <c r="C6" i="27"/>
  <c r="U12" i="27"/>
  <c r="N5" i="27"/>
  <c r="Q5" i="27"/>
  <c r="M7" i="27"/>
  <c r="O7" i="27" s="1"/>
  <c r="M8" i="27"/>
  <c r="O8" i="27" s="1"/>
  <c r="M9" i="27"/>
  <c r="M10" i="27"/>
  <c r="O10" i="27" s="1"/>
  <c r="M11" i="27"/>
  <c r="M12" i="27"/>
  <c r="M13" i="27"/>
  <c r="M14" i="27"/>
  <c r="M15" i="27"/>
  <c r="O15" i="27" s="1"/>
  <c r="M16" i="27"/>
  <c r="M17" i="27"/>
  <c r="O17" i="27" s="1"/>
  <c r="M6" i="27"/>
  <c r="O6" i="27" s="1"/>
  <c r="K5" i="27"/>
  <c r="J5" i="27"/>
  <c r="H16" i="27"/>
  <c r="H17" i="27"/>
  <c r="H18" i="27"/>
  <c r="G5" i="27"/>
  <c r="E5" i="27"/>
  <c r="R15" i="55"/>
  <c r="Q15" i="55"/>
  <c r="P15" i="55"/>
  <c r="O15" i="55"/>
  <c r="N15" i="55"/>
  <c r="M15" i="55"/>
  <c r="S15" i="55" s="1"/>
  <c r="L15" i="55"/>
  <c r="K15" i="55"/>
  <c r="E15" i="55"/>
  <c r="B14" i="53" s="1"/>
  <c r="D15" i="55"/>
  <c r="C15" i="55"/>
  <c r="T7" i="27"/>
  <c r="U7" i="27"/>
  <c r="T8" i="27"/>
  <c r="U8" i="27"/>
  <c r="T9" i="27"/>
  <c r="U9" i="27"/>
  <c r="T10" i="27"/>
  <c r="U10" i="27"/>
  <c r="T11" i="27"/>
  <c r="U11" i="27"/>
  <c r="T12" i="27"/>
  <c r="T13" i="27"/>
  <c r="U13" i="27"/>
  <c r="T14" i="27"/>
  <c r="U14" i="27"/>
  <c r="T15" i="27"/>
  <c r="U15" i="27"/>
  <c r="T16" i="27"/>
  <c r="U16" i="27"/>
  <c r="T17" i="27"/>
  <c r="U17" i="27"/>
  <c r="U6" i="27"/>
  <c r="H7" i="27"/>
  <c r="H8" i="27"/>
  <c r="H9" i="27"/>
  <c r="H10" i="27"/>
  <c r="H11" i="27"/>
  <c r="H12" i="27"/>
  <c r="H13" i="27"/>
  <c r="H14" i="27"/>
  <c r="H15" i="27"/>
  <c r="W13" i="27" l="1"/>
  <c r="V13" i="27"/>
  <c r="W12" i="27"/>
  <c r="V12" i="27"/>
  <c r="V8" i="27"/>
  <c r="W8" i="27"/>
  <c r="W11" i="27"/>
  <c r="V11" i="27"/>
  <c r="V7" i="27"/>
  <c r="W7" i="27"/>
  <c r="V17" i="27"/>
  <c r="W17" i="27"/>
  <c r="V16" i="27"/>
  <c r="W16" i="27"/>
  <c r="V15" i="27"/>
  <c r="W15" i="27"/>
  <c r="V10" i="27"/>
  <c r="W10" i="27"/>
  <c r="W14" i="27"/>
  <c r="V14" i="27"/>
  <c r="V9" i="27"/>
  <c r="W9" i="27"/>
  <c r="R12" i="14"/>
  <c r="R13" i="14"/>
  <c r="R7" i="14"/>
  <c r="P13" i="14"/>
  <c r="P6" i="14"/>
  <c r="P14" i="14"/>
  <c r="P7" i="14"/>
  <c r="P15" i="14"/>
  <c r="P8" i="14"/>
  <c r="P16" i="14"/>
  <c r="P9" i="14"/>
  <c r="P5" i="14"/>
  <c r="P10" i="14"/>
  <c r="P11" i="14"/>
  <c r="P12" i="14"/>
  <c r="R6" i="14"/>
  <c r="R14" i="14"/>
  <c r="R8" i="14"/>
  <c r="Q10" i="14"/>
  <c r="Q11" i="14"/>
  <c r="Q12" i="14"/>
  <c r="Q13" i="14"/>
  <c r="Q6" i="14"/>
  <c r="Q14" i="14"/>
  <c r="Q7" i="14"/>
  <c r="Q15" i="14"/>
  <c r="Q8" i="14"/>
  <c r="Q9" i="14"/>
  <c r="Q16" i="14"/>
  <c r="Q5" i="14"/>
  <c r="R15" i="14"/>
  <c r="R16" i="14"/>
  <c r="H8" i="14"/>
  <c r="H6" i="14"/>
  <c r="K6" i="27"/>
  <c r="J8" i="14"/>
  <c r="L7" i="14"/>
  <c r="N6" i="14"/>
  <c r="O16" i="27"/>
  <c r="O9" i="27"/>
  <c r="N15" i="27"/>
  <c r="N7" i="27"/>
  <c r="N14" i="27"/>
  <c r="J5" i="14"/>
  <c r="J16" i="14"/>
  <c r="M6" i="14"/>
  <c r="L10" i="14"/>
  <c r="K6" i="14"/>
  <c r="L15" i="14"/>
  <c r="J15" i="14"/>
  <c r="J10" i="14"/>
  <c r="J7" i="14"/>
  <c r="N6" i="27"/>
  <c r="N10" i="27"/>
  <c r="N17" i="27"/>
  <c r="N16" i="27"/>
  <c r="N8" i="27"/>
  <c r="J11" i="14"/>
  <c r="L11" i="14"/>
  <c r="J6" i="14"/>
  <c r="L6" i="14"/>
  <c r="O5" i="14"/>
  <c r="M5" i="14"/>
  <c r="K5" i="14"/>
  <c r="L5" i="14"/>
  <c r="O6" i="14"/>
  <c r="J13" i="14"/>
  <c r="L13" i="14"/>
  <c r="J9" i="14"/>
  <c r="L9" i="14"/>
  <c r="J14" i="14"/>
  <c r="L14" i="14"/>
  <c r="J12" i="14"/>
  <c r="L12" i="14"/>
  <c r="L16" i="14"/>
  <c r="L8" i="14"/>
  <c r="N9" i="27"/>
  <c r="K16" i="14"/>
  <c r="K15" i="14"/>
  <c r="K14" i="14"/>
  <c r="K13" i="14"/>
  <c r="K12" i="14"/>
  <c r="K11" i="14"/>
  <c r="K10" i="14"/>
  <c r="K9" i="14"/>
  <c r="K8" i="14"/>
  <c r="K7" i="14"/>
  <c r="N5" i="14"/>
  <c r="I16" i="14"/>
  <c r="I15" i="14"/>
  <c r="I14" i="14"/>
  <c r="I13" i="14"/>
  <c r="I12" i="14"/>
  <c r="I11" i="14"/>
  <c r="I10" i="14"/>
  <c r="I9" i="14"/>
  <c r="I8" i="14"/>
  <c r="I7" i="14"/>
  <c r="I6" i="14"/>
  <c r="H16" i="14"/>
  <c r="H10" i="14"/>
  <c r="H14" i="14"/>
  <c r="H11" i="14"/>
  <c r="H9" i="14"/>
  <c r="H5" i="14"/>
  <c r="O16" i="14"/>
  <c r="O15" i="14"/>
  <c r="O14" i="14"/>
  <c r="O13" i="14"/>
  <c r="O12" i="14"/>
  <c r="O11" i="14"/>
  <c r="O10" i="14"/>
  <c r="O9" i="14"/>
  <c r="O8" i="14"/>
  <c r="O7" i="14"/>
  <c r="H13" i="14"/>
  <c r="H7" i="14"/>
  <c r="N16" i="14"/>
  <c r="N15" i="14"/>
  <c r="N14" i="14"/>
  <c r="N13" i="14"/>
  <c r="N12" i="14"/>
  <c r="N11" i="14"/>
  <c r="N10" i="14"/>
  <c r="N9" i="14"/>
  <c r="N8" i="14"/>
  <c r="N7" i="14"/>
  <c r="H15" i="14"/>
  <c r="H12" i="14"/>
  <c r="M16" i="14"/>
  <c r="M15" i="14"/>
  <c r="M14" i="14"/>
  <c r="M13" i="14"/>
  <c r="M12" i="14"/>
  <c r="M11" i="14"/>
  <c r="M10" i="14"/>
  <c r="M9" i="14"/>
  <c r="M8" i="14"/>
  <c r="M7" i="14"/>
  <c r="N12" i="27"/>
  <c r="O13" i="27"/>
  <c r="J6" i="27"/>
  <c r="O14" i="27"/>
  <c r="C15" i="33"/>
  <c r="U18" i="27"/>
  <c r="C18" i="27"/>
  <c r="O11" i="27"/>
  <c r="C17" i="14"/>
  <c r="N13" i="27"/>
  <c r="O12" i="27"/>
  <c r="N11" i="27"/>
  <c r="P17" i="14" l="1"/>
  <c r="T5" i="14"/>
  <c r="E22" i="24" s="1"/>
  <c r="J17" i="14"/>
  <c r="O17" i="14"/>
  <c r="N18" i="27"/>
  <c r="C3" i="53"/>
  <c r="D3" i="53" s="1"/>
  <c r="C4" i="53"/>
  <c r="D4" i="53" s="1"/>
  <c r="C5" i="53"/>
  <c r="D5" i="53" s="1"/>
  <c r="C6" i="53"/>
  <c r="D6" i="53" s="1"/>
  <c r="C10" i="53"/>
  <c r="D10" i="53" s="1"/>
  <c r="C11" i="53"/>
  <c r="D11" i="53" s="1"/>
  <c r="C12" i="53"/>
  <c r="D12" i="53" s="1"/>
  <c r="C13" i="53"/>
  <c r="D13" i="53" s="1"/>
  <c r="C2" i="53" l="1"/>
  <c r="D2" i="53" s="1"/>
  <c r="C7" i="53"/>
  <c r="D7" i="53" s="1"/>
  <c r="C9" i="53"/>
  <c r="D9" i="53" s="1"/>
  <c r="C8" i="53"/>
  <c r="D8" i="53" s="1"/>
  <c r="T6" i="27" l="1"/>
  <c r="T18" i="27" l="1"/>
  <c r="W6" i="27"/>
  <c r="V6" i="27"/>
  <c r="C14" i="53"/>
  <c r="D14" i="53" s="1"/>
  <c r="E6" i="53" l="1"/>
  <c r="R10" i="27" s="1"/>
  <c r="E5" i="53"/>
  <c r="R9" i="27" s="1"/>
  <c r="E12" i="53"/>
  <c r="R16" i="27" s="1"/>
  <c r="E4" i="53"/>
  <c r="R8" i="27" s="1"/>
  <c r="E3" i="53"/>
  <c r="R7" i="27" s="1"/>
  <c r="E13" i="53"/>
  <c r="R17" i="27" s="1"/>
  <c r="E11" i="53"/>
  <c r="R15" i="27" s="1"/>
  <c r="E10" i="53"/>
  <c r="R14" i="27" s="1"/>
  <c r="E8" i="53"/>
  <c r="R12" i="27" s="1"/>
  <c r="E9" i="53"/>
  <c r="R13" i="27" s="1"/>
  <c r="E7" i="53"/>
  <c r="R11" i="27" s="1"/>
  <c r="E2" i="53"/>
  <c r="E14" i="53" l="1"/>
  <c r="R6" i="27"/>
  <c r="R18" i="27" s="1"/>
  <c r="V18" i="27" l="1"/>
  <c r="W18" i="27" l="1"/>
  <c r="N17" i="14" l="1"/>
  <c r="Q41" i="24" l="1"/>
  <c r="M41" i="24"/>
  <c r="G6" i="27" l="1"/>
  <c r="Q16" i="27" l="1"/>
  <c r="Q10" i="27"/>
  <c r="Q13" i="27"/>
  <c r="Q12" i="27"/>
  <c r="Q44" i="24"/>
  <c r="Q47" i="24"/>
  <c r="Q43" i="24"/>
  <c r="Q9" i="27"/>
  <c r="Q50" i="24"/>
  <c r="Q42" i="24"/>
  <c r="Q8" i="27"/>
  <c r="Q46" i="24"/>
  <c r="Q11" i="27"/>
  <c r="Q52" i="24"/>
  <c r="Q49" i="24"/>
  <c r="Q15" i="27"/>
  <c r="Q7" i="27"/>
  <c r="Q45" i="24"/>
  <c r="Q51" i="24"/>
  <c r="Q17" i="27"/>
  <c r="Q48" i="24"/>
  <c r="Q14" i="27"/>
  <c r="M52" i="24" l="1"/>
  <c r="M43" i="24"/>
  <c r="M44" i="24"/>
  <c r="M46" i="24"/>
  <c r="M42" i="24"/>
  <c r="M45" i="24"/>
  <c r="M48" i="24"/>
  <c r="M47" i="24"/>
  <c r="Q53" i="24"/>
  <c r="T8" i="14" l="1"/>
  <c r="E25" i="24" s="1"/>
  <c r="O18" i="27"/>
  <c r="M49" i="24"/>
  <c r="M50" i="24"/>
  <c r="M53" i="24" l="1"/>
  <c r="M51" i="24"/>
  <c r="Q6" i="27" l="1"/>
  <c r="Q18" i="27" l="1"/>
  <c r="L17" i="14" l="1"/>
  <c r="K17" i="14"/>
  <c r="M17" i="14"/>
  <c r="I17" i="14" l="1"/>
  <c r="H17" i="14" l="1"/>
  <c r="F3" i="33" l="1"/>
  <c r="E11" i="27" l="1"/>
  <c r="E14" i="27"/>
  <c r="E12" i="27"/>
  <c r="E16" i="27"/>
  <c r="E13" i="27"/>
  <c r="E15" i="27"/>
  <c r="E17" i="27"/>
  <c r="E6" i="27"/>
  <c r="Y6" i="27" s="1"/>
  <c r="C22" i="24" s="1"/>
  <c r="E10" i="27"/>
  <c r="E8" i="27"/>
  <c r="E7" i="27"/>
  <c r="E9" i="27"/>
  <c r="K15" i="27" l="1"/>
  <c r="K9" i="27"/>
  <c r="G15" i="27"/>
  <c r="G8" i="27"/>
  <c r="K7" i="27"/>
  <c r="J7" i="27"/>
  <c r="K12" i="27"/>
  <c r="J8" i="27"/>
  <c r="J13" i="27"/>
  <c r="J16" i="27"/>
  <c r="E18" i="27"/>
  <c r="K8" i="27" l="1"/>
  <c r="Y8" i="27" s="1"/>
  <c r="C24" i="24" s="1"/>
  <c r="J14" i="27"/>
  <c r="K11" i="27"/>
  <c r="E3" i="33"/>
  <c r="G11" i="27"/>
  <c r="K17" i="27"/>
  <c r="K10" i="27"/>
  <c r="J17" i="27"/>
  <c r="K16" i="27"/>
  <c r="G13" i="27"/>
  <c r="G9" i="27"/>
  <c r="G17" i="27"/>
  <c r="G12" i="27"/>
  <c r="J9" i="27"/>
  <c r="J10" i="27"/>
  <c r="J12" i="27"/>
  <c r="K14" i="27"/>
  <c r="G7" i="27"/>
  <c r="Y7" i="27" s="1"/>
  <c r="C23" i="24" s="1"/>
  <c r="J11" i="27"/>
  <c r="J15" i="27"/>
  <c r="Y15" i="27" s="1"/>
  <c r="C31" i="24" s="1"/>
  <c r="G16" i="27"/>
  <c r="Y16" i="27" s="1"/>
  <c r="C32" i="24" s="1"/>
  <c r="G14" i="27"/>
  <c r="K13" i="27"/>
  <c r="G10" i="27"/>
  <c r="Y12" i="27" l="1"/>
  <c r="C28" i="24" s="1"/>
  <c r="K28" i="24" s="1"/>
  <c r="K3" i="33"/>
  <c r="E41" i="24" s="1"/>
  <c r="Y11" i="27"/>
  <c r="C27" i="24" s="1"/>
  <c r="Y9" i="27"/>
  <c r="C25" i="24" s="1"/>
  <c r="Y13" i="27"/>
  <c r="C29" i="24" s="1"/>
  <c r="Y10" i="27"/>
  <c r="C26" i="24" s="1"/>
  <c r="C33" i="24"/>
  <c r="Y14" i="27"/>
  <c r="C30" i="24" s="1"/>
  <c r="J18" i="27"/>
  <c r="E13" i="33"/>
  <c r="K18" i="27"/>
  <c r="E12" i="33"/>
  <c r="K31" i="24"/>
  <c r="G3" i="33"/>
  <c r="K24" i="24"/>
  <c r="E5" i="33"/>
  <c r="E5" i="14"/>
  <c r="E14" i="14"/>
  <c r="G18" i="27"/>
  <c r="E7" i="14"/>
  <c r="Q17" i="14"/>
  <c r="Y18" i="27" l="1"/>
  <c r="C34" i="24" s="1"/>
  <c r="K32" i="24"/>
  <c r="E9" i="33"/>
  <c r="E11" i="33"/>
  <c r="E6" i="33"/>
  <c r="K25" i="24"/>
  <c r="E14" i="33"/>
  <c r="K33" i="24"/>
  <c r="E8" i="33"/>
  <c r="K27" i="24"/>
  <c r="E6" i="14"/>
  <c r="K23" i="24"/>
  <c r="E7" i="33"/>
  <c r="K26" i="24"/>
  <c r="E10" i="33"/>
  <c r="K29" i="24"/>
  <c r="E4" i="33"/>
  <c r="E9" i="14"/>
  <c r="E12" i="14"/>
  <c r="E8" i="14"/>
  <c r="E11" i="14"/>
  <c r="E15" i="14"/>
  <c r="K22" i="24"/>
  <c r="E16" i="14"/>
  <c r="E10" i="14"/>
  <c r="K30" i="24"/>
  <c r="E13" i="14"/>
  <c r="E17" i="14" l="1"/>
  <c r="E15" i="33"/>
  <c r="K34" i="24"/>
  <c r="T10" i="14"/>
  <c r="E27" i="24" s="1"/>
  <c r="T6" i="14"/>
  <c r="E23" i="24" s="1"/>
  <c r="T16" i="14"/>
  <c r="E33" i="24" s="1"/>
  <c r="T9" i="14"/>
  <c r="E26" i="24" s="1"/>
  <c r="E32" i="24"/>
  <c r="T11" i="14"/>
  <c r="E28" i="24" s="1"/>
  <c r="T13" i="14"/>
  <c r="E30" i="24" s="1"/>
  <c r="T14" i="14"/>
  <c r="E31" i="24" s="1"/>
  <c r="T12" i="14"/>
  <c r="E29" i="24" s="1"/>
  <c r="T7" i="14"/>
  <c r="E24" i="24" s="1"/>
  <c r="F8" i="33" l="1"/>
  <c r="G8" i="33" s="1"/>
  <c r="F14" i="33"/>
  <c r="G14" i="33" s="1"/>
  <c r="F5" i="33"/>
  <c r="G5" i="33" s="1"/>
  <c r="G29" i="24"/>
  <c r="F7" i="33"/>
  <c r="G7" i="33" s="1"/>
  <c r="R17" i="14"/>
  <c r="T17" i="14" s="1"/>
  <c r="E34" i="24" s="1"/>
  <c r="F4" i="33" l="1"/>
  <c r="G4" i="33" s="1"/>
  <c r="F9" i="33"/>
  <c r="G9" i="33" s="1"/>
  <c r="M33" i="24"/>
  <c r="F11" i="33"/>
  <c r="G11" i="33" s="1"/>
  <c r="G27" i="24"/>
  <c r="F13" i="33"/>
  <c r="G13" i="33" s="1"/>
  <c r="F12" i="33"/>
  <c r="G12" i="33" s="1"/>
  <c r="G24" i="24"/>
  <c r="F10" i="33"/>
  <c r="G10" i="33" s="1"/>
  <c r="G25" i="24"/>
  <c r="F6" i="33"/>
  <c r="G6" i="33" s="1"/>
  <c r="G32" i="24"/>
  <c r="M32" i="24"/>
  <c r="F15" i="33"/>
  <c r="G15" i="33" s="1"/>
  <c r="G22" i="24"/>
  <c r="I22" i="24" s="1"/>
  <c r="M30" i="24"/>
  <c r="G30" i="24"/>
  <c r="G23" i="24"/>
  <c r="M23" i="24"/>
  <c r="M29" i="24"/>
  <c r="G31" i="24"/>
  <c r="M31" i="24"/>
  <c r="G26" i="24"/>
  <c r="M26" i="24"/>
  <c r="M28" i="24"/>
  <c r="G28" i="24"/>
  <c r="G33" i="24" l="1"/>
  <c r="E16" i="24" s="1"/>
  <c r="M27" i="24"/>
  <c r="M24" i="24"/>
  <c r="G34" i="24"/>
  <c r="G36" i="24" s="1"/>
  <c r="M25" i="24"/>
  <c r="I32" i="24"/>
  <c r="E15" i="24"/>
  <c r="E10" i="24"/>
  <c r="I27" i="24"/>
  <c r="I30" i="24"/>
  <c r="E13" i="24"/>
  <c r="M22" i="24"/>
  <c r="I26" i="24"/>
  <c r="E9" i="24"/>
  <c r="I23" i="24"/>
  <c r="E6" i="24"/>
  <c r="I31" i="24"/>
  <c r="E14" i="24"/>
  <c r="E7" i="24"/>
  <c r="I24" i="24"/>
  <c r="E8" i="24"/>
  <c r="I25" i="24"/>
  <c r="I28" i="24"/>
  <c r="E11" i="24"/>
  <c r="I29" i="24"/>
  <c r="E12" i="24"/>
  <c r="I33" i="24" l="1"/>
  <c r="C62" i="24"/>
  <c r="C57" i="24"/>
  <c r="C65" i="24"/>
  <c r="E5" i="24"/>
  <c r="C60" i="24"/>
  <c r="C66" i="24"/>
  <c r="C64" i="24"/>
  <c r="C59" i="24"/>
  <c r="C58" i="24"/>
  <c r="C61" i="24"/>
  <c r="C63" i="24"/>
  <c r="C67" i="24"/>
  <c r="I34" i="24"/>
  <c r="M34" i="24"/>
  <c r="I64" i="24" l="1"/>
  <c r="I57" i="24"/>
  <c r="I58" i="24"/>
  <c r="C56" i="24"/>
  <c r="E17" i="24"/>
  <c r="I59" i="24"/>
  <c r="I61" i="24"/>
  <c r="I65" i="24"/>
  <c r="I60" i="24"/>
  <c r="I63" i="24"/>
  <c r="I66" i="24"/>
  <c r="I67" i="24"/>
  <c r="I62" i="24"/>
  <c r="I56" i="24" l="1"/>
  <c r="C68" i="24"/>
  <c r="I68" i="24" l="1"/>
  <c r="O41" i="24" l="1"/>
  <c r="E56" i="24" s="1"/>
  <c r="I41" i="24"/>
  <c r="K56" i="24" l="1"/>
  <c r="G56" i="24"/>
  <c r="K41" i="24"/>
  <c r="G5" i="24"/>
  <c r="I5" i="24" l="1"/>
  <c r="K5" i="24" l="1"/>
  <c r="K10" i="33"/>
  <c r="E48" i="24" s="1"/>
  <c r="K9" i="33"/>
  <c r="E47" i="24" s="1"/>
  <c r="K8" i="33"/>
  <c r="E46" i="24" s="1"/>
  <c r="K7" i="33"/>
  <c r="E45" i="24" s="1"/>
  <c r="K6" i="33"/>
  <c r="E44" i="24" s="1"/>
  <c r="K12" i="33"/>
  <c r="E50" i="24" s="1"/>
  <c r="K14" i="33"/>
  <c r="E52" i="24" s="1"/>
  <c r="K13" i="33"/>
  <c r="E51" i="24" s="1"/>
  <c r="K5" i="33"/>
  <c r="E43" i="24" s="1"/>
  <c r="K11" i="33"/>
  <c r="E49" i="24" s="1"/>
  <c r="K4" i="33"/>
  <c r="E42" i="24" s="1"/>
  <c r="K15" i="33" l="1"/>
  <c r="E53" i="24" s="1"/>
  <c r="O51" i="24" l="1"/>
  <c r="I51" i="24"/>
  <c r="O52" i="24"/>
  <c r="I52" i="24"/>
  <c r="O42" i="24"/>
  <c r="I42" i="24"/>
  <c r="I47" i="24"/>
  <c r="O47" i="24"/>
  <c r="O48" i="24"/>
  <c r="I48" i="24"/>
  <c r="I45" i="24"/>
  <c r="O45" i="24"/>
  <c r="O53" i="24"/>
  <c r="I53" i="24"/>
  <c r="O46" i="24"/>
  <c r="I46" i="24"/>
  <c r="O44" i="24"/>
  <c r="I44" i="24"/>
  <c r="I43" i="24"/>
  <c r="O43" i="24"/>
  <c r="O49" i="24"/>
  <c r="I49" i="24"/>
  <c r="I50" i="24"/>
  <c r="O50" i="24"/>
  <c r="G15" i="24" l="1"/>
  <c r="K51" i="24"/>
  <c r="E66" i="24"/>
  <c r="K66" i="24" s="1"/>
  <c r="G66" i="24"/>
  <c r="G12" i="24"/>
  <c r="K48" i="24"/>
  <c r="G59" i="24"/>
  <c r="E59" i="24"/>
  <c r="K59" i="24" s="1"/>
  <c r="G63" i="24"/>
  <c r="E63" i="24"/>
  <c r="K63" i="24" s="1"/>
  <c r="G62" i="24"/>
  <c r="E62" i="24"/>
  <c r="K62" i="24" s="1"/>
  <c r="K42" i="24"/>
  <c r="G6" i="24"/>
  <c r="E68" i="24"/>
  <c r="K68" i="24" s="1"/>
  <c r="G68" i="24"/>
  <c r="G57" i="24"/>
  <c r="E57" i="24"/>
  <c r="K57" i="24" s="1"/>
  <c r="G65" i="24"/>
  <c r="E65" i="24"/>
  <c r="K65" i="24" s="1"/>
  <c r="G58" i="24"/>
  <c r="E58" i="24"/>
  <c r="K58" i="24" s="1"/>
  <c r="E60" i="24"/>
  <c r="K60" i="24" s="1"/>
  <c r="G60" i="24"/>
  <c r="K52" i="24"/>
  <c r="G16" i="24"/>
  <c r="K49" i="24"/>
  <c r="G13" i="24"/>
  <c r="G8" i="24"/>
  <c r="K44" i="24"/>
  <c r="G64" i="24"/>
  <c r="E64" i="24"/>
  <c r="K64" i="24" s="1"/>
  <c r="K46" i="24"/>
  <c r="G10" i="24"/>
  <c r="E61" i="24"/>
  <c r="K61" i="24" s="1"/>
  <c r="G61" i="24"/>
  <c r="G11" i="24"/>
  <c r="K47" i="24"/>
  <c r="G17" i="24"/>
  <c r="K53" i="24"/>
  <c r="G14" i="24"/>
  <c r="K50" i="24"/>
  <c r="G7" i="24"/>
  <c r="K43" i="24"/>
  <c r="G9" i="24"/>
  <c r="K45" i="24"/>
  <c r="E67" i="24"/>
  <c r="K67" i="24" s="1"/>
  <c r="G67" i="24"/>
  <c r="I15" i="24" l="1"/>
  <c r="I10" i="24"/>
  <c r="I17" i="24"/>
  <c r="I16" i="24"/>
  <c r="I9" i="24"/>
  <c r="I11" i="24"/>
  <c r="I7" i="24"/>
  <c r="I8" i="24"/>
  <c r="I6" i="24"/>
  <c r="I14" i="24"/>
  <c r="I13" i="24"/>
  <c r="I12" i="24"/>
  <c r="K15" i="24" l="1"/>
  <c r="M7" i="24"/>
  <c r="K7" i="24"/>
  <c r="M6" i="24"/>
  <c r="K6" i="24"/>
  <c r="K9" i="24"/>
  <c r="M9" i="24"/>
  <c r="M8" i="24"/>
  <c r="K8" i="24"/>
  <c r="K12" i="24"/>
  <c r="M12" i="24"/>
  <c r="K16" i="24"/>
  <c r="M16" i="24"/>
  <c r="M13" i="24"/>
  <c r="K13" i="24"/>
  <c r="M5" i="24"/>
  <c r="M17" i="24"/>
  <c r="K17" i="24"/>
  <c r="M15" i="24"/>
  <c r="K14" i="24"/>
  <c r="M14" i="24"/>
  <c r="K11" i="24"/>
  <c r="M11" i="24"/>
  <c r="K10" i="24"/>
  <c r="M10" i="24"/>
</calcChain>
</file>

<file path=xl/sharedStrings.xml><?xml version="1.0" encoding="utf-8"?>
<sst xmlns="http://schemas.openxmlformats.org/spreadsheetml/2006/main" count="367" uniqueCount="154">
  <si>
    <t>O&amp;M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</si>
  <si>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</si>
  <si>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</si>
  <si>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</si>
  <si>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</si>
  <si>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</si>
  <si>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</si>
  <si>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 Carbondale</t>
  </si>
  <si>
    <t>Southern Illinois University Edwardsville</t>
  </si>
  <si>
    <t>University of Illinois at Chicago</t>
  </si>
  <si>
    <t>University of Illinois at Springfield</t>
  </si>
  <si>
    <t>University of Illinois at Urbana / Champaign</t>
  </si>
  <si>
    <t>Western Illinois University</t>
  </si>
  <si>
    <t>Institution</t>
  </si>
  <si>
    <t>Core Instruction Costs</t>
  </si>
  <si>
    <t>Mission</t>
  </si>
  <si>
    <t>Adequacy Gap</t>
  </si>
  <si>
    <t>Core Instruction</t>
  </si>
  <si>
    <t>Access</t>
  </si>
  <si>
    <t>High</t>
  </si>
  <si>
    <t>Medium</t>
  </si>
  <si>
    <t>Low</t>
  </si>
  <si>
    <t>Total Equity Adjustment Cost</t>
  </si>
  <si>
    <t>Illinois</t>
  </si>
  <si>
    <t>Academic and Non-Academic Supports</t>
  </si>
  <si>
    <t>Intensive</t>
  </si>
  <si>
    <t>Academic and Non-Academic Supports (Undergrad)</t>
  </si>
  <si>
    <t>Acad/Non-Acad Supports (Grad/Prof)</t>
  </si>
  <si>
    <t>Increasing Diversity in High-Cost Fields</t>
  </si>
  <si>
    <t>+</t>
  </si>
  <si>
    <t>=</t>
  </si>
  <si>
    <t>Total Equity Adjustment</t>
  </si>
  <si>
    <t>Total Adequacy Target</t>
  </si>
  <si>
    <t>Adequacy Target Summary</t>
  </si>
  <si>
    <t>Total Base 
Funding</t>
  </si>
  <si>
    <t>O&amp;M - Institutional Support</t>
  </si>
  <si>
    <t>Base Funding</t>
  </si>
  <si>
    <t>O&amp;M - Physical Plant (per sq ft)</t>
  </si>
  <si>
    <t>Institutional Support</t>
  </si>
  <si>
    <t>Adequacy</t>
  </si>
  <si>
    <t>Resource Profile</t>
  </si>
  <si>
    <t>Base Cost</t>
  </si>
  <si>
    <t>Adequacy Target</t>
  </si>
  <si>
    <t>Total Base Funding</t>
  </si>
  <si>
    <t>Percent High-Cost Programs</t>
  </si>
  <si>
    <t>Equity Adjustment</t>
  </si>
  <si>
    <t>Access and Supports</t>
  </si>
  <si>
    <t>Degree-Seeking Headcount</t>
  </si>
  <si>
    <t>R1</t>
  </si>
  <si>
    <t>Masters</t>
  </si>
  <si>
    <t>R2</t>
  </si>
  <si>
    <t>R3</t>
  </si>
  <si>
    <t>Other Resources</t>
  </si>
  <si>
    <t>Total Resources Profile</t>
  </si>
  <si>
    <t>Resource Profile Summary</t>
  </si>
  <si>
    <t>-</t>
  </si>
  <si>
    <t>High-Cost</t>
  </si>
  <si>
    <t>Adequacy Target per Student</t>
  </si>
  <si>
    <t>Total Resources per Student</t>
  </si>
  <si>
    <t>Carnegie Classification</t>
  </si>
  <si>
    <t>Concentration Adjustment</t>
  </si>
  <si>
    <t>ESS Index</t>
  </si>
  <si>
    <t>All Programs</t>
  </si>
  <si>
    <t>High-Cost 
Add-On</t>
  </si>
  <si>
    <t>Equitable Student Share</t>
  </si>
  <si>
    <t>School Size Adjustment</t>
  </si>
  <si>
    <t>School Size</t>
  </si>
  <si>
    <t>Non-Lab Sq Ft</t>
  </si>
  <si>
    <t>Lab Sq Ft</t>
  </si>
  <si>
    <t>Share of Total $ Adequacy Gap</t>
  </si>
  <si>
    <t>Grad</t>
  </si>
  <si>
    <t>ESS per student</t>
  </si>
  <si>
    <t>Percent of Adequacy Target Funded</t>
  </si>
  <si>
    <t>Other Resources per student</t>
  </si>
  <si>
    <t>Equity Adjustment per Student</t>
  </si>
  <si>
    <t>Base Funding Per Student</t>
  </si>
  <si>
    <t>State Approps per Student</t>
  </si>
  <si>
    <t>Equitable Student Share (ESS)</t>
  </si>
  <si>
    <t>State Share of Adequacy Per Student</t>
  </si>
  <si>
    <t>Student Share of Adequacy per Student</t>
  </si>
  <si>
    <t>Other Resources Share of Adequacy per Student</t>
  </si>
  <si>
    <t>Physical Plant</t>
  </si>
  <si>
    <t>Degree-Seeking UG</t>
  </si>
  <si>
    <t>Enrollment</t>
  </si>
  <si>
    <t>Equity Adjustments as % of Adequacy</t>
  </si>
  <si>
    <t>Future State Approps per Student when Fully Funded</t>
  </si>
  <si>
    <t>Supports</t>
  </si>
  <si>
    <t>Percent Other Health</t>
  </si>
  <si>
    <t>Institution Size Adjustment</t>
  </si>
  <si>
    <t xml:space="preserve"> Amount </t>
  </si>
  <si>
    <t xml:space="preserve"> Enrollments under threshold </t>
  </si>
  <si>
    <t xml:space="preserve"> Amount per student </t>
  </si>
  <si>
    <t xml:space="preserve"> Reciprocal Proportions </t>
  </si>
  <si>
    <t xml:space="preserve"> Amount per Student </t>
  </si>
  <si>
    <t xml:space="preserve"> Ratio of Institution Size to Average </t>
  </si>
  <si>
    <t xml:space="preserve"> $                   -  </t>
  </si>
  <si>
    <t xml:space="preserve"> $                              -  </t>
  </si>
  <si>
    <t>############</t>
  </si>
  <si>
    <t xml:space="preserve">                                  -  </t>
  </si>
  <si>
    <t>Maximum Subsidy (for 0 students)</t>
  </si>
  <si>
    <t>Subsidy Percent</t>
  </si>
  <si>
    <t>Subsidy per student</t>
  </si>
  <si>
    <t>Max Enrollment for school size adjustment</t>
  </si>
  <si>
    <t>Concentration Factor</t>
  </si>
  <si>
    <t>Component</t>
  </si>
  <si>
    <t>Physical Plant - Sq Ft</t>
  </si>
  <si>
    <t>Minor Remodeling</t>
  </si>
  <si>
    <t>Adjustments</t>
  </si>
  <si>
    <t>Facult Diversity</t>
  </si>
  <si>
    <t>R2/R3</t>
  </si>
  <si>
    <t>Lab</t>
  </si>
  <si>
    <t>varies</t>
  </si>
  <si>
    <t>Degree Seeking UG &amp; Grad</t>
  </si>
  <si>
    <t>Headcount (3yr Avg)</t>
  </si>
  <si>
    <t>Med/Doc/Prof</t>
  </si>
  <si>
    <t>Carneigie Classification</t>
  </si>
  <si>
    <t>Increasing Diversity</t>
  </si>
  <si>
    <t>Research Adjustment</t>
  </si>
  <si>
    <t>Degree-Seeking Enrollment</t>
  </si>
  <si>
    <t>% of UGs in High/Intensive</t>
  </si>
  <si>
    <t>Threshold</t>
  </si>
  <si>
    <t>Mision</t>
  </si>
  <si>
    <t>Endowment Annual Spend</t>
  </si>
  <si>
    <t>Endowment Value (4yr Avg, System Adjusted)</t>
  </si>
  <si>
    <t>State Approps 
(Avg of FY21-23)</t>
  </si>
  <si>
    <t>Core Instruction Equity Adjustment</t>
  </si>
  <si>
    <t xml:space="preserve"> State Approps 
(FY21-23 avg)</t>
  </si>
  <si>
    <t>Med/Doc/Prof Add-On</t>
  </si>
  <si>
    <t>Category</t>
  </si>
  <si>
    <t>Amount</t>
  </si>
  <si>
    <t>Increasing Diversity in Med/Doc/Prof</t>
  </si>
  <si>
    <t>Faculty Diversity</t>
  </si>
  <si>
    <t>% Enrolled in High Cost Programs</t>
  </si>
  <si>
    <t>% Enrolled in Med/Doc/Prof Programs</t>
  </si>
  <si>
    <t>% BIPOC Enrollment in High-Cost</t>
  </si>
  <si>
    <t>% BIPOC Enrollment in Med/Doc/Prof</t>
  </si>
  <si>
    <t>Headcount</t>
  </si>
  <si>
    <t>Source</t>
  </si>
  <si>
    <t>Data Element</t>
  </si>
  <si>
    <t>IBHE</t>
  </si>
  <si>
    <t>% Enrolled in High-Cost Programs</t>
  </si>
  <si>
    <t>IPEDS</t>
  </si>
  <si>
    <t>Square Footage</t>
  </si>
  <si>
    <t>IBHE Capital RAMP Tables F-3 and F-4</t>
  </si>
  <si>
    <t>Equity Adjustment Counts</t>
  </si>
  <si>
    <t>IBHE student-level data file (3yr average)</t>
  </si>
  <si>
    <t>% BIPOC Enrolled in High-Cost Programs</t>
  </si>
  <si>
    <t>% BIPOC Enrolled in Med/Doc/Prof Programs</t>
  </si>
  <si>
    <t>IBHE Cost Study 2020</t>
  </si>
  <si>
    <t>SIU and UI system appropriations are allocated proportional to enrollment; line item appropriations are assigned to the actual campus receiving those funds</t>
  </si>
  <si>
    <t>State Appropriations</t>
  </si>
  <si>
    <t>Enrollment Value</t>
  </si>
  <si>
    <t>IPEDS completions, BIPOC and total by program (3yr average)</t>
  </si>
  <si>
    <t>IPEDS completions by program (3yr 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</si>
</sst>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%"/>
    <numFmt numFmtId="169" formatCode="0.000"/>
    <numFmt numFmtId="170" formatCode="#,##0.0_);[Red]\(#,##0.0\)"/>
    <numFmt numFmtId="171" formatCode="_(&quot;$&quot;* #,##0.0_);_(&quot;$&quot;* \(#,##0.0\);_(&quot;$&quot;* &quot;-&quot;??_);_(@_)"/>
    <numFmt numFmtId="172" formatCode="_(* #,##0.000000_);_(* \(#,##0.000000\);_(* &quot;-&quot;??_);_(@_)"/>
    <numFmt numFmtId="173" formatCode="_(* #,##0.0_);_(* \(#,##0.0\);_(* &quot;-&quot;??_);_(@_)"/>
    <numFmt numFmtId="174" formatCode="0.000%"/>
    <numFmt numFmtId="175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 (Body)"/>
    </font>
    <font>
      <b/>
      <sz val="12"/>
      <color theme="0"/>
      <name val="Calibri (Body)"/>
    </font>
    <font>
      <b/>
      <sz val="11"/>
      <color rgb="FF000000"/>
      <name val="Calibri"/>
      <family val="2"/>
    </font>
    <font>
      <b/>
      <sz val="11"/>
      <color theme="0"/>
      <name val="Calibri (Body)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000000"/>
      <name val="Tw Cen MT"/>
      <family val="2"/>
    </font>
    <font>
      <sz val="14"/>
      <color rgb="FF000000"/>
      <name val="Tw Cen MT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rgb="FF000000"/>
      <name val="Tw Cen MT"/>
      <family val="2"/>
    </font>
    <font>
      <sz val="14"/>
      <color theme="1"/>
      <name val="Tw Cen MT"/>
      <family val="2"/>
    </font>
    <font>
      <b/>
      <sz val="14"/>
      <color theme="1"/>
      <name val="Tw Cen MT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1" fillId="0" borderId="0" xfId="1"/>
    <xf numFmtId="0" fontId="3" fillId="0" borderId="0" xfId="1" applyFont="1"/>
    <xf numFmtId="9" fontId="0" fillId="0" borderId="0" xfId="4" applyFont="1"/>
    <xf numFmtId="0" fontId="3" fillId="0" borderId="0" xfId="0" applyFont="1"/>
    <xf numFmtId="38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0" fillId="0" borderId="0" xfId="5" applyNumberFormat="1" applyFont="1"/>
    <xf numFmtId="0" fontId="3" fillId="0" borderId="1" xfId="0" applyFont="1" applyBorder="1"/>
    <xf numFmtId="0" fontId="0" fillId="0" borderId="0" xfId="0" applyAlignment="1">
      <alignment vertical="center" wrapText="1"/>
    </xf>
    <xf numFmtId="6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64" fontId="0" fillId="4" borderId="0" xfId="0" applyNumberFormat="1" applyFill="1"/>
    <xf numFmtId="164" fontId="3" fillId="4" borderId="0" xfId="0" applyNumberFormat="1" applyFont="1" applyFill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textRotation="90"/>
    </xf>
    <xf numFmtId="166" fontId="0" fillId="0" borderId="0" xfId="0" applyNumberFormat="1"/>
    <xf numFmtId="0" fontId="0" fillId="0" borderId="1" xfId="0" applyBorder="1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6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 textRotation="90" wrapText="1"/>
    </xf>
    <xf numFmtId="6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8" fontId="3" fillId="0" borderId="0" xfId="0" applyNumberFormat="1" applyFont="1"/>
    <xf numFmtId="0" fontId="8" fillId="0" borderId="0" xfId="0" applyFont="1"/>
    <xf numFmtId="9" fontId="3" fillId="0" borderId="0" xfId="4" applyFont="1"/>
    <xf numFmtId="0" fontId="8" fillId="0" borderId="0" xfId="0" applyFont="1" applyAlignment="1">
      <alignment wrapText="1"/>
    </xf>
    <xf numFmtId="6" fontId="3" fillId="5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3" xfId="0" applyFont="1" applyBorder="1" applyAlignment="1">
      <alignment horizontal="center" vertical="center" wrapText="1"/>
    </xf>
    <xf numFmtId="164" fontId="0" fillId="0" borderId="5" xfId="0" applyNumberFormat="1" applyBorder="1"/>
    <xf numFmtId="164" fontId="3" fillId="0" borderId="1" xfId="0" applyNumberFormat="1" applyFont="1" applyBorder="1"/>
    <xf numFmtId="0" fontId="0" fillId="0" borderId="2" xfId="0" applyBorder="1"/>
    <xf numFmtId="0" fontId="1" fillId="0" borderId="4" xfId="1" applyBorder="1"/>
    <xf numFmtId="0" fontId="3" fillId="0" borderId="6" xfId="1" applyFont="1" applyBorder="1"/>
    <xf numFmtId="164" fontId="3" fillId="0" borderId="7" xfId="0" applyNumberFormat="1" applyFont="1" applyBorder="1"/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3" borderId="1" xfId="0" applyNumberFormat="1" applyFont="1" applyFill="1" applyBorder="1" applyAlignment="1">
      <alignment horizontal="center" vertical="center" wrapText="1"/>
    </xf>
    <xf numFmtId="38" fontId="0" fillId="5" borderId="0" xfId="0" applyNumberFormat="1" applyFill="1"/>
    <xf numFmtId="38" fontId="3" fillId="5" borderId="0" xfId="0" applyNumberFormat="1" applyFont="1" applyFill="1"/>
    <xf numFmtId="167" fontId="0" fillId="5" borderId="0" xfId="6" applyNumberFormat="1" applyFont="1" applyFill="1" applyBorder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13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" fillId="0" borderId="0" xfId="1" applyNumberFormat="1"/>
    <xf numFmtId="0" fontId="3" fillId="0" borderId="2" xfId="0" applyFont="1" applyBorder="1" applyAlignment="1">
      <alignment horizontal="center" vertical="center" wrapText="1"/>
    </xf>
    <xf numFmtId="168" fontId="0" fillId="0" borderId="0" xfId="4" applyNumberFormat="1" applyFont="1"/>
    <xf numFmtId="168" fontId="0" fillId="5" borderId="0" xfId="4" applyNumberFormat="1" applyFont="1" applyFill="1"/>
    <xf numFmtId="168" fontId="3" fillId="5" borderId="0" xfId="4" applyNumberFormat="1" applyFont="1" applyFill="1"/>
    <xf numFmtId="0" fontId="0" fillId="0" borderId="0" xfId="1" applyFont="1"/>
    <xf numFmtId="167" fontId="0" fillId="0" borderId="0" xfId="0" applyNumberFormat="1"/>
    <xf numFmtId="164" fontId="15" fillId="0" borderId="0" xfId="0" applyNumberFormat="1" applyFont="1"/>
    <xf numFmtId="164" fontId="11" fillId="0" borderId="0" xfId="0" applyNumberFormat="1" applyFont="1"/>
    <xf numFmtId="0" fontId="10" fillId="0" borderId="0" xfId="1" applyFont="1"/>
    <xf numFmtId="38" fontId="10" fillId="0" borderId="0" xfId="0" applyNumberFormat="1" applyFont="1"/>
    <xf numFmtId="164" fontId="16" fillId="0" borderId="0" xfId="0" applyNumberFormat="1" applyFont="1"/>
    <xf numFmtId="164" fontId="12" fillId="0" borderId="0" xfId="0" applyNumberFormat="1" applyFont="1"/>
    <xf numFmtId="168" fontId="0" fillId="0" borderId="0" xfId="0" applyNumberFormat="1"/>
    <xf numFmtId="167" fontId="3" fillId="5" borderId="0" xfId="6" applyNumberFormat="1" applyFont="1" applyFill="1" applyBorder="1"/>
    <xf numFmtId="0" fontId="17" fillId="0" borderId="0" xfId="0" applyFont="1" applyAlignment="1">
      <alignment vertical="center" wrapText="1"/>
    </xf>
    <xf numFmtId="10" fontId="0" fillId="0" borderId="0" xfId="0" applyNumberFormat="1"/>
    <xf numFmtId="38" fontId="3" fillId="0" borderId="1" xfId="0" applyNumberFormat="1" applyFont="1" applyBorder="1"/>
    <xf numFmtId="164" fontId="3" fillId="4" borderId="1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9" fontId="3" fillId="3" borderId="1" xfId="4" applyFont="1" applyFill="1" applyBorder="1" applyAlignment="1">
      <alignment horizontal="center" vertical="center" wrapText="1"/>
    </xf>
    <xf numFmtId="9" fontId="10" fillId="3" borderId="0" xfId="0" applyNumberFormat="1" applyFont="1" applyFill="1" applyAlignment="1">
      <alignment horizontal="center"/>
    </xf>
    <xf numFmtId="168" fontId="0" fillId="0" borderId="0" xfId="4" applyNumberFormat="1" applyFont="1" applyBorder="1"/>
    <xf numFmtId="168" fontId="0" fillId="0" borderId="5" xfId="4" applyNumberFormat="1" applyFont="1" applyBorder="1"/>
    <xf numFmtId="168" fontId="0" fillId="0" borderId="1" xfId="4" applyNumberFormat="1" applyFont="1" applyBorder="1"/>
    <xf numFmtId="168" fontId="0" fillId="0" borderId="7" xfId="4" applyNumberFormat="1" applyFont="1" applyBorder="1"/>
    <xf numFmtId="170" fontId="0" fillId="0" borderId="0" xfId="0" applyNumberFormat="1"/>
    <xf numFmtId="164" fontId="18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6" fillId="0" borderId="0" xfId="0" applyFont="1"/>
    <xf numFmtId="164" fontId="0" fillId="0" borderId="0" xfId="4" applyNumberFormat="1" applyFont="1" applyFill="1"/>
    <xf numFmtId="168" fontId="0" fillId="0" borderId="0" xfId="4" applyNumberFormat="1" applyFont="1" applyFill="1"/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9" fontId="0" fillId="0" borderId="0" xfId="4" applyFont="1" applyAlignment="1">
      <alignment horizontal="right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9" fillId="0" borderId="0" xfId="0" applyFont="1"/>
    <xf numFmtId="44" fontId="0" fillId="0" borderId="0" xfId="5" applyFont="1"/>
    <xf numFmtId="164" fontId="3" fillId="2" borderId="1" xfId="0" applyNumberFormat="1" applyFont="1" applyFill="1" applyBorder="1"/>
    <xf numFmtId="0" fontId="3" fillId="0" borderId="3" xfId="0" applyFont="1" applyBorder="1" applyAlignment="1">
      <alignment vertical="center"/>
    </xf>
    <xf numFmtId="0" fontId="3" fillId="0" borderId="1" xfId="1" applyFont="1" applyBorder="1"/>
    <xf numFmtId="168" fontId="3" fillId="0" borderId="1" xfId="4" applyNumberFormat="1" applyFont="1" applyBorder="1"/>
    <xf numFmtId="9" fontId="0" fillId="0" borderId="0" xfId="4" applyFont="1" applyBorder="1"/>
    <xf numFmtId="9" fontId="3" fillId="0" borderId="1" xfId="4" applyFont="1" applyBorder="1"/>
    <xf numFmtId="0" fontId="3" fillId="3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9" fontId="3" fillId="0" borderId="0" xfId="4" applyFont="1" applyAlignment="1">
      <alignment horizontal="right"/>
    </xf>
    <xf numFmtId="164" fontId="3" fillId="0" borderId="0" xfId="4" applyNumberFormat="1" applyFont="1" applyFill="1" applyAlignment="1">
      <alignment horizontal="right"/>
    </xf>
    <xf numFmtId="168" fontId="3" fillId="0" borderId="0" xfId="4" applyNumberFormat="1" applyFont="1" applyAlignment="1">
      <alignment horizontal="left"/>
    </xf>
    <xf numFmtId="164" fontId="0" fillId="0" borderId="7" xfId="0" applyNumberFormat="1" applyBorder="1"/>
    <xf numFmtId="164" fontId="9" fillId="0" borderId="1" xfId="0" applyNumberFormat="1" applyFont="1" applyBorder="1" applyAlignment="1">
      <alignment vertical="center"/>
    </xf>
    <xf numFmtId="164" fontId="18" fillId="0" borderId="1" xfId="0" applyNumberFormat="1" applyFont="1" applyBorder="1" applyAlignment="1">
      <alignment vertical="center"/>
    </xf>
    <xf numFmtId="9" fontId="17" fillId="0" borderId="0" xfId="4" applyFont="1" applyAlignment="1">
      <alignment horizontal="left" vertical="center" wrapText="1"/>
    </xf>
    <xf numFmtId="6" fontId="8" fillId="0" borderId="0" xfId="0" applyNumberFormat="1" applyFont="1" applyAlignment="1">
      <alignment wrapText="1"/>
    </xf>
    <xf numFmtId="167" fontId="6" fillId="0" borderId="0" xfId="0" applyNumberFormat="1" applyFont="1"/>
    <xf numFmtId="44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38" fontId="6" fillId="9" borderId="0" xfId="0" applyNumberFormat="1" applyFont="1" applyFill="1"/>
    <xf numFmtId="38" fontId="6" fillId="0" borderId="0" xfId="0" applyNumberFormat="1" applyFont="1"/>
    <xf numFmtId="172" fontId="6" fillId="0" borderId="0" xfId="0" applyNumberFormat="1" applyFont="1"/>
    <xf numFmtId="38" fontId="5" fillId="9" borderId="0" xfId="0" applyNumberFormat="1" applyFont="1" applyFill="1"/>
    <xf numFmtId="38" fontId="5" fillId="0" borderId="0" xfId="0" applyNumberFormat="1" applyFont="1"/>
    <xf numFmtId="167" fontId="5" fillId="0" borderId="0" xfId="0" applyNumberFormat="1" applyFont="1"/>
    <xf numFmtId="172" fontId="5" fillId="0" borderId="0" xfId="0" applyNumberFormat="1" applyFont="1"/>
    <xf numFmtId="0" fontId="20" fillId="0" borderId="0" xfId="0" applyFont="1"/>
    <xf numFmtId="0" fontId="20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7" fontId="24" fillId="0" borderId="0" xfId="6" applyNumberFormat="1" applyFont="1"/>
    <xf numFmtId="165" fontId="24" fillId="0" borderId="0" xfId="5" applyNumberFormat="1" applyFont="1"/>
    <xf numFmtId="165" fontId="24" fillId="0" borderId="0" xfId="0" applyNumberFormat="1" applyFont="1"/>
    <xf numFmtId="167" fontId="25" fillId="0" borderId="0" xfId="6" applyNumberFormat="1" applyFont="1"/>
    <xf numFmtId="165" fontId="25" fillId="0" borderId="0" xfId="5" applyNumberFormat="1" applyFont="1"/>
    <xf numFmtId="165" fontId="25" fillId="0" borderId="0" xfId="0" applyNumberFormat="1" applyFont="1"/>
    <xf numFmtId="0" fontId="25" fillId="0" borderId="0" xfId="0" applyFont="1"/>
    <xf numFmtId="9" fontId="24" fillId="0" borderId="0" xfId="4" applyFont="1"/>
    <xf numFmtId="9" fontId="6" fillId="0" borderId="0" xfId="0" applyNumberFormat="1" applyFont="1"/>
    <xf numFmtId="0" fontId="5" fillId="0" borderId="0" xfId="0" applyFont="1" applyAlignment="1">
      <alignment wrapText="1"/>
    </xf>
    <xf numFmtId="9" fontId="25" fillId="0" borderId="0" xfId="4" applyFont="1"/>
    <xf numFmtId="165" fontId="6" fillId="0" borderId="0" xfId="5" applyNumberFormat="1" applyFont="1"/>
    <xf numFmtId="167" fontId="6" fillId="0" borderId="0" xfId="6" applyNumberFormat="1" applyFont="1"/>
    <xf numFmtId="9" fontId="6" fillId="0" borderId="0" xfId="4" applyFont="1"/>
    <xf numFmtId="38" fontId="6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right"/>
    </xf>
    <xf numFmtId="171" fontId="6" fillId="0" borderId="0" xfId="0" applyNumberFormat="1" applyFont="1"/>
    <xf numFmtId="169" fontId="6" fillId="0" borderId="0" xfId="0" applyNumberFormat="1" applyFont="1"/>
    <xf numFmtId="165" fontId="6" fillId="0" borderId="0" xfId="0" applyNumberFormat="1" applyFont="1" applyAlignment="1">
      <alignment horizontal="right"/>
    </xf>
    <xf numFmtId="173" fontId="6" fillId="0" borderId="0" xfId="6" applyNumberFormat="1" applyFont="1" applyAlignment="1">
      <alignment horizontal="right"/>
    </xf>
    <xf numFmtId="168" fontId="6" fillId="0" borderId="0" xfId="4" applyNumberFormat="1" applyFont="1"/>
    <xf numFmtId="0" fontId="21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" fillId="0" borderId="8" xfId="1" applyBorder="1"/>
    <xf numFmtId="38" fontId="0" fillId="0" borderId="2" xfId="0" applyNumberFormat="1" applyBorder="1"/>
    <xf numFmtId="167" fontId="0" fillId="0" borderId="2" xfId="6" applyNumberFormat="1" applyFont="1" applyFill="1" applyBorder="1"/>
    <xf numFmtId="9" fontId="0" fillId="0" borderId="2" xfId="4" applyFont="1" applyBorder="1"/>
    <xf numFmtId="167" fontId="0" fillId="0" borderId="2" xfId="6" applyNumberFormat="1" applyFont="1" applyBorder="1"/>
    <xf numFmtId="173" fontId="0" fillId="0" borderId="2" xfId="6" applyNumberFormat="1" applyFont="1" applyBorder="1"/>
    <xf numFmtId="164" fontId="0" fillId="0" borderId="2" xfId="0" applyNumberFormat="1" applyBorder="1" applyAlignment="1">
      <alignment horizontal="right" vertical="top"/>
    </xf>
    <xf numFmtId="164" fontId="0" fillId="0" borderId="9" xfId="0" applyNumberFormat="1" applyBorder="1"/>
    <xf numFmtId="167" fontId="0" fillId="0" borderId="0" xfId="6" applyNumberFormat="1" applyFont="1" applyFill="1" applyBorder="1"/>
    <xf numFmtId="167" fontId="0" fillId="0" borderId="0" xfId="6" applyNumberFormat="1" applyFont="1" applyBorder="1"/>
    <xf numFmtId="173" fontId="0" fillId="0" borderId="0" xfId="6" applyNumberFormat="1" applyFont="1" applyBorder="1"/>
    <xf numFmtId="164" fontId="0" fillId="0" borderId="0" xfId="0" applyNumberFormat="1" applyAlignment="1">
      <alignment horizontal="right" vertical="top"/>
    </xf>
    <xf numFmtId="38" fontId="10" fillId="0" borderId="1" xfId="0" applyNumberFormat="1" applyFont="1" applyBorder="1"/>
    <xf numFmtId="10" fontId="0" fillId="0" borderId="2" xfId="4" applyNumberFormat="1" applyFont="1" applyBorder="1"/>
    <xf numFmtId="10" fontId="0" fillId="0" borderId="0" xfId="4" applyNumberFormat="1" applyFont="1" applyBorder="1"/>
    <xf numFmtId="174" fontId="0" fillId="0" borderId="0" xfId="4" applyNumberFormat="1" applyFont="1" applyBorder="1"/>
    <xf numFmtId="10" fontId="3" fillId="0" borderId="1" xfId="4" applyNumberFormat="1" applyFont="1" applyBorder="1"/>
    <xf numFmtId="10" fontId="0" fillId="0" borderId="1" xfId="0" applyNumberFormat="1" applyBorder="1"/>
    <xf numFmtId="175" fontId="6" fillId="0" borderId="0" xfId="0" applyNumberFormat="1" applyFont="1"/>
    <xf numFmtId="171" fontId="5" fillId="0" borderId="0" xfId="0" applyNumberFormat="1" applyFont="1"/>
    <xf numFmtId="168" fontId="3" fillId="0" borderId="1" xfId="0" applyNumberFormat="1" applyFont="1" applyBorder="1"/>
    <xf numFmtId="0" fontId="26" fillId="0" borderId="0" xfId="0" applyFont="1"/>
    <xf numFmtId="0" fontId="0" fillId="0" borderId="0" xfId="0" applyAlignment="1">
      <alignment horizontal="left" indent="1"/>
    </xf>
    <xf numFmtId="9" fontId="0" fillId="0" borderId="0" xfId="4" applyFont="1" applyAlignment="1">
      <alignment horizontal="center"/>
    </xf>
    <xf numFmtId="9" fontId="3" fillId="0" borderId="0" xfId="4" applyFont="1" applyAlignment="1">
      <alignment horizontal="center"/>
    </xf>
    <xf numFmtId="0" fontId="7" fillId="8" borderId="0" xfId="0" applyFont="1" applyFill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3" fillId="7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</cellXfs>
  <cellStyles count="7">
    <cellStyle name="Comma" xfId="6" builtinId="3"/>
    <cellStyle name="Comma 2" xfId="3" xr:uid="{AF63A642-F713-4423-9934-15FE53CB45CF}"/>
    <cellStyle name="Currency" xfId="5" builtinId="4"/>
    <cellStyle name="Normal" xfId="0" builtinId="0"/>
    <cellStyle name="Normal 2" xfId="2" xr:uid="{9748FF3B-8D00-4C8B-86DA-28A504D3AC8A}"/>
    <cellStyle name="Normal 3" xfId="1" xr:uid="{C84E3B76-4A9A-4F57-850D-3DE5F09380A8}"/>
    <cellStyle name="Percent" xfId="4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E9C76-013F-2B4B-B175-8CB6CE7D57B6}">
  <sheetPr>
    <tabColor theme="9"/>
  </sheetPr>
  <dimension ref="B1:S70"/>
  <sheetViews>
    <sheetView showGridLines="0" tabSelected="1" zoomScale="140" zoomScaleNormal="140" workbookViewId="0">
      <selection activeCell="C21" sqref="C21"/>
    </sheetView>
  </sheetViews>
  <sheetFormatPr baseColWidth="10" defaultRowHeight="15" x14ac:dyDescent="0.2"/>
  <cols>
    <col min="1" max="1" width="3.1640625" customWidth="1"/>
    <col min="2" max="2" width="33.5" bestFit="1" customWidth="1"/>
    <col min="3" max="3" width="16.5" customWidth="1"/>
    <col min="4" max="4" width="2.6640625" customWidth="1"/>
    <col min="5" max="5" width="14.1640625" customWidth="1"/>
    <col min="6" max="6" width="2.6640625" customWidth="1"/>
    <col min="7" max="7" width="14.1640625" customWidth="1"/>
    <col min="8" max="8" width="2.6640625" customWidth="1"/>
    <col min="9" max="9" width="14.1640625" customWidth="1"/>
    <col min="10" max="10" width="2.6640625" customWidth="1"/>
    <col min="11" max="11" width="14.1640625" customWidth="1"/>
    <col min="12" max="12" width="2.6640625" customWidth="1"/>
    <col min="13" max="13" width="14.1640625" customWidth="1"/>
    <col min="14" max="14" width="2.83203125" customWidth="1"/>
    <col min="15" max="15" width="16.6640625" customWidth="1"/>
    <col min="16" max="16" width="2.83203125" customWidth="1"/>
    <col min="17" max="17" width="16.6640625" customWidth="1"/>
    <col min="18" max="18" width="2.83203125" customWidth="1"/>
    <col min="19" max="19" width="16.6640625" customWidth="1"/>
    <col min="20" max="23" width="14.83203125" customWidth="1"/>
    <col min="24" max="25" width="19.83203125" customWidth="1"/>
    <col min="26" max="26" width="16.1640625" customWidth="1"/>
    <col min="27" max="27" width="14.5" customWidth="1"/>
  </cols>
  <sheetData>
    <row r="1" spans="2:15" ht="15" customHeight="1" x14ac:dyDescent="0.2"/>
    <row r="2" spans="2:15" ht="19" x14ac:dyDescent="0.25">
      <c r="B2" s="178" t="s">
        <v>16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33"/>
    </row>
    <row r="3" spans="2:15" ht="15" customHeight="1" x14ac:dyDescent="0.2"/>
    <row r="4" spans="2:15" ht="48" x14ac:dyDescent="0.2">
      <c r="B4" s="85" t="s">
        <v>13</v>
      </c>
      <c r="C4" s="34" t="s">
        <v>118</v>
      </c>
      <c r="D4" s="93"/>
      <c r="E4" s="34" t="s">
        <v>42</v>
      </c>
      <c r="F4" s="37"/>
      <c r="G4" s="34" t="s">
        <v>40</v>
      </c>
      <c r="H4" s="37"/>
      <c r="I4" s="72" t="s">
        <v>16</v>
      </c>
      <c r="J4" s="37"/>
      <c r="K4" s="34" t="s">
        <v>72</v>
      </c>
      <c r="L4" s="37"/>
      <c r="M4" s="86" t="s">
        <v>69</v>
      </c>
    </row>
    <row r="5" spans="2:15" ht="15" customHeight="1" x14ac:dyDescent="0.2">
      <c r="B5" s="38" t="s">
        <v>1</v>
      </c>
      <c r="C5" s="5">
        <f>VLOOKUP(B5,'School Data'!$B$2:$X$15,4,FALSE)</f>
        <v>2365.6666666666665</v>
      </c>
      <c r="D5" s="1"/>
      <c r="E5" s="6">
        <f t="shared" ref="E5:E16" si="0">G22</f>
        <v>78953230.988891378</v>
      </c>
      <c r="F5" s="80" t="s">
        <v>55</v>
      </c>
      <c r="G5" s="6">
        <f t="shared" ref="G5:G17" si="1">I41</f>
        <v>52323216.311808839</v>
      </c>
      <c r="H5" s="81" t="s">
        <v>30</v>
      </c>
      <c r="I5" s="14">
        <f t="shared" ref="I5:I17" si="2">E5-G5</f>
        <v>26630014.677082539</v>
      </c>
      <c r="K5" s="75">
        <f>1-I5/E5</f>
        <v>0.66271152752660178</v>
      </c>
      <c r="L5" s="6"/>
      <c r="M5" s="76">
        <f t="shared" ref="M5:M17" si="3">I5/$I$17</f>
        <v>1.8655743396600956E-2</v>
      </c>
      <c r="O5" s="69"/>
    </row>
    <row r="6" spans="2:15" ht="15" customHeight="1" x14ac:dyDescent="0.2">
      <c r="B6" s="38" t="s">
        <v>2</v>
      </c>
      <c r="C6" s="5">
        <f>VLOOKUP(B6,'School Data'!$B$2:$X$15,4,FALSE)</f>
        <v>6339.3333333333339</v>
      </c>
      <c r="D6" s="1"/>
      <c r="E6" s="6">
        <f t="shared" si="0"/>
        <v>168338605.70919517</v>
      </c>
      <c r="F6" s="80"/>
      <c r="G6" s="6">
        <f t="shared" si="1"/>
        <v>99950456.093602091</v>
      </c>
      <c r="H6" s="81"/>
      <c r="I6" s="14">
        <f t="shared" si="2"/>
        <v>68388149.615593076</v>
      </c>
      <c r="K6" s="75">
        <f t="shared" ref="K6:K17" si="4">1-I6/E6</f>
        <v>0.5937464889442321</v>
      </c>
      <c r="L6" s="6"/>
      <c r="M6" s="76">
        <f t="shared" si="3"/>
        <v>4.7909540646810973E-2</v>
      </c>
      <c r="O6" s="69"/>
    </row>
    <row r="7" spans="2:15" ht="15" customHeight="1" x14ac:dyDescent="0.2">
      <c r="B7" s="38" t="s">
        <v>3</v>
      </c>
      <c r="C7" s="5">
        <f>VLOOKUP(B7,'School Data'!$B$2:$X$15,4,FALSE)</f>
        <v>4418.333333333333</v>
      </c>
      <c r="D7" s="1"/>
      <c r="E7" s="6">
        <f t="shared" si="0"/>
        <v>116153214.60772562</v>
      </c>
      <c r="F7" s="80"/>
      <c r="G7" s="6">
        <f t="shared" si="1"/>
        <v>50492644.470275775</v>
      </c>
      <c r="H7" s="81"/>
      <c r="I7" s="14">
        <f t="shared" si="2"/>
        <v>65660570.137449846</v>
      </c>
      <c r="K7" s="75">
        <f t="shared" si="4"/>
        <v>0.43470724973734298</v>
      </c>
      <c r="L7" s="6"/>
      <c r="M7" s="76">
        <f t="shared" si="3"/>
        <v>4.5998725971899593E-2</v>
      </c>
      <c r="O7" s="69"/>
    </row>
    <row r="8" spans="2:15" ht="15" customHeight="1" x14ac:dyDescent="0.2">
      <c r="B8" s="38" t="s">
        <v>4</v>
      </c>
      <c r="C8" s="5">
        <f>VLOOKUP(B8,'School Data'!$B$2:$X$15,4,FALSE)</f>
        <v>20425.333333333336</v>
      </c>
      <c r="D8" s="1"/>
      <c r="E8" s="6">
        <f t="shared" si="0"/>
        <v>478642289.30528647</v>
      </c>
      <c r="F8" s="80"/>
      <c r="G8" s="6">
        <f t="shared" si="1"/>
        <v>261189999.90147871</v>
      </c>
      <c r="H8" s="81"/>
      <c r="I8" s="14">
        <f t="shared" si="2"/>
        <v>217452289.40380776</v>
      </c>
      <c r="K8" s="75">
        <f>1-I8/E8</f>
        <v>0.5456893503509197</v>
      </c>
      <c r="L8" s="6"/>
      <c r="M8" s="76">
        <f t="shared" si="3"/>
        <v>0.1523369086090674</v>
      </c>
      <c r="O8" s="69"/>
    </row>
    <row r="9" spans="2:15" ht="15" customHeight="1" x14ac:dyDescent="0.2">
      <c r="B9" s="38" t="s">
        <v>5</v>
      </c>
      <c r="C9" s="5">
        <f>VLOOKUP(B9,'School Data'!$B$2:$X$15,4,FALSE)</f>
        <v>5983</v>
      </c>
      <c r="D9" s="1"/>
      <c r="E9" s="6">
        <f t="shared" si="0"/>
        <v>172299865.58850366</v>
      </c>
      <c r="F9" s="80"/>
      <c r="G9" s="6">
        <f t="shared" si="1"/>
        <v>65843747.686451703</v>
      </c>
      <c r="H9" s="81"/>
      <c r="I9" s="14">
        <f t="shared" si="2"/>
        <v>106456117.90205196</v>
      </c>
      <c r="K9" s="75">
        <f t="shared" si="4"/>
        <v>0.38214625102322186</v>
      </c>
      <c r="L9" s="6"/>
      <c r="M9" s="76">
        <f t="shared" si="3"/>
        <v>7.4578179646597076E-2</v>
      </c>
      <c r="O9" s="69"/>
    </row>
    <row r="10" spans="2:15" ht="15" customHeight="1" x14ac:dyDescent="0.2">
      <c r="B10" s="38" t="s">
        <v>6</v>
      </c>
      <c r="C10" s="5">
        <f>VLOOKUP(B10,'School Data'!$B$2:$X$15,4,FALSE)</f>
        <v>15856</v>
      </c>
      <c r="D10" s="1"/>
      <c r="E10" s="6">
        <f t="shared" si="0"/>
        <v>408080978.30706757</v>
      </c>
      <c r="F10" s="80"/>
      <c r="G10" s="6">
        <f t="shared" si="1"/>
        <v>220588016.63768151</v>
      </c>
      <c r="H10" s="81"/>
      <c r="I10" s="14">
        <f t="shared" si="2"/>
        <v>187492961.66938606</v>
      </c>
      <c r="K10" s="75">
        <f t="shared" si="4"/>
        <v>0.5405496172666403</v>
      </c>
      <c r="L10" s="6"/>
      <c r="M10" s="76">
        <f t="shared" si="3"/>
        <v>0.13134880412150077</v>
      </c>
      <c r="O10" s="69"/>
    </row>
    <row r="11" spans="2:15" ht="15" customHeight="1" x14ac:dyDescent="0.2">
      <c r="B11" s="38" t="s">
        <v>7</v>
      </c>
      <c r="C11" s="5">
        <f>VLOOKUP(B11,'School Data'!$B$2:$X$15,4,FALSE)</f>
        <v>11101</v>
      </c>
      <c r="D11" s="1"/>
      <c r="E11" s="6">
        <f t="shared" si="0"/>
        <v>297587604.61751634</v>
      </c>
      <c r="F11" s="80"/>
      <c r="G11" s="6">
        <f t="shared" si="1"/>
        <v>268891924.72032481</v>
      </c>
      <c r="H11" s="81"/>
      <c r="I11" s="14">
        <f t="shared" si="2"/>
        <v>28695679.897191525</v>
      </c>
      <c r="K11" s="75">
        <f t="shared" si="4"/>
        <v>0.90357232810797505</v>
      </c>
      <c r="L11" s="6"/>
      <c r="M11" s="76">
        <f t="shared" si="3"/>
        <v>2.0102851885159187E-2</v>
      </c>
      <c r="O11" s="69"/>
    </row>
    <row r="12" spans="2:15" ht="15" customHeight="1" x14ac:dyDescent="0.2">
      <c r="B12" s="38" t="s">
        <v>8</v>
      </c>
      <c r="C12" s="5">
        <f>VLOOKUP(B12,'School Data'!$B$2:$X$15,4,FALSE)</f>
        <v>12660</v>
      </c>
      <c r="D12" s="1"/>
      <c r="E12" s="6">
        <f t="shared" si="0"/>
        <v>330327459.8818742</v>
      </c>
      <c r="F12" s="80"/>
      <c r="G12" s="6">
        <f t="shared" si="1"/>
        <v>200570405.28655323</v>
      </c>
      <c r="H12" s="81"/>
      <c r="I12" s="14">
        <f t="shared" si="2"/>
        <v>129757054.59532097</v>
      </c>
      <c r="K12" s="75">
        <f t="shared" si="4"/>
        <v>0.60718659404906161</v>
      </c>
      <c r="L12" s="6"/>
      <c r="M12" s="76">
        <f t="shared" si="3"/>
        <v>9.0901726633755314E-2</v>
      </c>
      <c r="O12" s="69"/>
    </row>
    <row r="13" spans="2:15" ht="15" customHeight="1" x14ac:dyDescent="0.2">
      <c r="B13" s="38" t="s">
        <v>9</v>
      </c>
      <c r="C13" s="5">
        <f>VLOOKUP(B13,'School Data'!$B$2:$X$15,4,FALSE)</f>
        <v>33026</v>
      </c>
      <c r="D13" s="1"/>
      <c r="E13" s="6">
        <f t="shared" si="0"/>
        <v>930900393.82725286</v>
      </c>
      <c r="F13" s="80"/>
      <c r="G13" s="6">
        <f t="shared" si="1"/>
        <v>573730150.27237797</v>
      </c>
      <c r="H13" s="81"/>
      <c r="I13" s="14">
        <f t="shared" si="2"/>
        <v>357170243.5548749</v>
      </c>
      <c r="K13" s="75">
        <f t="shared" si="4"/>
        <v>0.61631744285076007</v>
      </c>
      <c r="L13" s="6"/>
      <c r="M13" s="76">
        <f t="shared" si="3"/>
        <v>0.25021677582459412</v>
      </c>
      <c r="O13" s="69"/>
    </row>
    <row r="14" spans="2:15" ht="15" customHeight="1" x14ac:dyDescent="0.2">
      <c r="B14" s="38" t="s">
        <v>10</v>
      </c>
      <c r="C14" s="5">
        <f>VLOOKUP(B14,'School Data'!$B$2:$X$15,4,FALSE)</f>
        <v>3936.666666666667</v>
      </c>
      <c r="D14" s="1"/>
      <c r="E14" s="6">
        <f t="shared" si="0"/>
        <v>93714394.769041911</v>
      </c>
      <c r="F14" s="80"/>
      <c r="G14" s="6">
        <f t="shared" si="1"/>
        <v>65203356.355289876</v>
      </c>
      <c r="H14" s="81"/>
      <c r="I14" s="14">
        <f t="shared" si="2"/>
        <v>28511038.413752034</v>
      </c>
      <c r="K14" s="75">
        <f t="shared" si="4"/>
        <v>0.6957667124243061</v>
      </c>
      <c r="L14" s="6"/>
      <c r="M14" s="76">
        <f t="shared" si="3"/>
        <v>1.9973500693386121E-2</v>
      </c>
      <c r="O14" s="69"/>
    </row>
    <row r="15" spans="2:15" ht="15" customHeight="1" x14ac:dyDescent="0.2">
      <c r="B15" s="38" t="s">
        <v>11</v>
      </c>
      <c r="C15" s="5">
        <f>VLOOKUP(B15,'School Data'!$B$2:$X$15,4,FALSE)</f>
        <v>53639.666666666672</v>
      </c>
      <c r="D15" s="1"/>
      <c r="E15" s="6">
        <f t="shared" si="0"/>
        <v>1248626834.0969048</v>
      </c>
      <c r="F15" s="80"/>
      <c r="G15" s="6">
        <f t="shared" si="1"/>
        <v>1115099085.3987634</v>
      </c>
      <c r="H15" s="81"/>
      <c r="I15" s="14">
        <f t="shared" si="2"/>
        <v>133527748.69814134</v>
      </c>
      <c r="K15" s="75">
        <f t="shared" si="4"/>
        <v>0.89306032430840876</v>
      </c>
      <c r="L15" s="6"/>
      <c r="M15" s="76">
        <f t="shared" si="3"/>
        <v>9.3543298651732137E-2</v>
      </c>
      <c r="O15" s="69"/>
    </row>
    <row r="16" spans="2:15" ht="15" customHeight="1" x14ac:dyDescent="0.2">
      <c r="B16" s="38" t="s">
        <v>12</v>
      </c>
      <c r="C16" s="5">
        <f>VLOOKUP(B16,'School Data'!$B$2:$X$15,4,FALSE)</f>
        <v>7389.666666666667</v>
      </c>
      <c r="D16" s="1"/>
      <c r="E16" s="6">
        <f t="shared" si="0"/>
        <v>199049148.38276058</v>
      </c>
      <c r="F16" s="80"/>
      <c r="G16" s="6">
        <f t="shared" si="1"/>
        <v>121347783.46391259</v>
      </c>
      <c r="H16" s="81"/>
      <c r="I16" s="14">
        <f t="shared" si="2"/>
        <v>77701364.918847993</v>
      </c>
      <c r="K16" s="75">
        <f t="shared" si="4"/>
        <v>0.60963729033679392</v>
      </c>
      <c r="L16" s="6"/>
      <c r="M16" s="76">
        <f t="shared" si="3"/>
        <v>5.4433943918895673E-2</v>
      </c>
      <c r="O16" s="69"/>
    </row>
    <row r="17" spans="2:17" ht="15" customHeight="1" x14ac:dyDescent="0.2">
      <c r="B17" s="39" t="s">
        <v>23</v>
      </c>
      <c r="C17" s="70">
        <f>VLOOKUP(B17,'School Data'!$B$2:$X$15,4,FALSE)</f>
        <v>177140.66666666666</v>
      </c>
      <c r="D17" s="94"/>
      <c r="E17" s="36">
        <f>SUM(E5:E16)</f>
        <v>4522674020.0820217</v>
      </c>
      <c r="F17" s="106"/>
      <c r="G17" s="36">
        <f t="shared" si="1"/>
        <v>3095230786.5985208</v>
      </c>
      <c r="H17" s="105"/>
      <c r="I17" s="92">
        <f t="shared" si="2"/>
        <v>1427443233.483501</v>
      </c>
      <c r="J17" s="19"/>
      <c r="K17" s="77">
        <f t="shared" si="4"/>
        <v>0.68438069444199889</v>
      </c>
      <c r="L17" s="22"/>
      <c r="M17" s="78">
        <f t="shared" si="3"/>
        <v>1</v>
      </c>
    </row>
    <row r="18" spans="2:17" ht="15" customHeight="1" x14ac:dyDescent="0.2"/>
    <row r="19" spans="2:17" ht="19" x14ac:dyDescent="0.25">
      <c r="B19" s="178" t="s">
        <v>33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O19" s="88"/>
      <c r="P19" s="88"/>
      <c r="Q19" s="88"/>
    </row>
    <row r="20" spans="2:17" ht="14" customHeight="1" x14ac:dyDescent="0.25"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O20" s="88"/>
      <c r="P20" s="88"/>
      <c r="Q20" s="88"/>
    </row>
    <row r="21" spans="2:17" ht="49" customHeight="1" x14ac:dyDescent="0.2">
      <c r="B21" s="85" t="s">
        <v>13</v>
      </c>
      <c r="C21" s="34" t="s">
        <v>43</v>
      </c>
      <c r="D21" s="37"/>
      <c r="E21" s="34" t="s">
        <v>31</v>
      </c>
      <c r="F21" s="37"/>
      <c r="G21" s="72" t="s">
        <v>32</v>
      </c>
      <c r="H21" s="37"/>
      <c r="I21" s="34" t="s">
        <v>57</v>
      </c>
      <c r="J21" s="37"/>
      <c r="K21" s="34" t="s">
        <v>75</v>
      </c>
      <c r="L21" s="54"/>
      <c r="M21" s="86" t="s">
        <v>74</v>
      </c>
      <c r="N21" s="88"/>
      <c r="O21" s="88"/>
    </row>
    <row r="22" spans="2:17" ht="15" customHeight="1" x14ac:dyDescent="0.2">
      <c r="B22" s="38" t="s">
        <v>1</v>
      </c>
      <c r="C22" s="6">
        <f>VLOOKUP(B22,'Institutional Base Calc'!$B$4:$Y$18,24,FALSE)</f>
        <v>54475348.659390293</v>
      </c>
      <c r="D22" s="179" t="s">
        <v>29</v>
      </c>
      <c r="E22" s="6">
        <f>VLOOKUP($B22,'Instituional Equity Calc'!B3:T17,19,FALSE)</f>
        <v>24477882.329501089</v>
      </c>
      <c r="F22" s="179" t="s">
        <v>30</v>
      </c>
      <c r="G22" s="14">
        <f>E22+C22</f>
        <v>78953230.988891378</v>
      </c>
      <c r="I22" s="6">
        <f t="shared" ref="I22:I34" si="5">G22/C5</f>
        <v>33374.622089146702</v>
      </c>
      <c r="K22" s="6">
        <f t="shared" ref="K22:K34" si="6">C22/C5</f>
        <v>23027.482877014358</v>
      </c>
      <c r="L22" s="75"/>
      <c r="M22" s="35">
        <f t="shared" ref="M22:M34" si="7">E22/C5</f>
        <v>10347.139212132348</v>
      </c>
      <c r="N22" s="88"/>
      <c r="O22" s="107"/>
    </row>
    <row r="23" spans="2:17" ht="15" customHeight="1" x14ac:dyDescent="0.2">
      <c r="B23" s="38" t="s">
        <v>2</v>
      </c>
      <c r="C23" s="6">
        <f>VLOOKUP(B23,'Institutional Base Calc'!$B$4:$Y$18,24,FALSE)</f>
        <v>125174761.34010226</v>
      </c>
      <c r="D23" s="179"/>
      <c r="E23" s="6">
        <f>VLOOKUP($B23,'Instituional Equity Calc'!B4:T18,19,FALSE)</f>
        <v>43163844.369092904</v>
      </c>
      <c r="F23" s="179"/>
      <c r="G23" s="14">
        <f t="shared" ref="G23:G33" si="8">E23+C23</f>
        <v>168338605.70919517</v>
      </c>
      <c r="I23" s="6">
        <f t="shared" si="5"/>
        <v>26554.622837710878</v>
      </c>
      <c r="K23" s="6">
        <f t="shared" si="6"/>
        <v>19745.729520470435</v>
      </c>
      <c r="L23" s="75"/>
      <c r="M23" s="35">
        <f t="shared" si="7"/>
        <v>6808.8933172404404</v>
      </c>
      <c r="N23" s="88"/>
      <c r="O23" s="107"/>
    </row>
    <row r="24" spans="2:17" ht="15" customHeight="1" x14ac:dyDescent="0.2">
      <c r="B24" s="38" t="s">
        <v>3</v>
      </c>
      <c r="C24" s="6">
        <f>VLOOKUP(B24,'Institutional Base Calc'!$B$4:$Y$18,24,FALSE)</f>
        <v>83922563.949581295</v>
      </c>
      <c r="D24" s="179"/>
      <c r="E24" s="6">
        <f>VLOOKUP($B24,'Instituional Equity Calc'!B5:T19,19,FALSE)</f>
        <v>32230650.658144332</v>
      </c>
      <c r="F24" s="179"/>
      <c r="G24" s="14">
        <f t="shared" si="8"/>
        <v>116153214.60772562</v>
      </c>
      <c r="I24" s="6">
        <f t="shared" si="5"/>
        <v>26288.920695826244</v>
      </c>
      <c r="K24" s="6">
        <f t="shared" si="6"/>
        <v>18994.167623443522</v>
      </c>
      <c r="L24" s="75"/>
      <c r="M24" s="35">
        <f t="shared" si="7"/>
        <v>7294.753072382724</v>
      </c>
      <c r="N24" s="88"/>
      <c r="O24" s="107"/>
    </row>
    <row r="25" spans="2:17" ht="15" customHeight="1" x14ac:dyDescent="0.2">
      <c r="B25" s="38" t="s">
        <v>4</v>
      </c>
      <c r="C25" s="6">
        <f>VLOOKUP(B25,'Institutional Base Calc'!$B$4:$Y$18,24,FALSE)</f>
        <v>391252731.50019658</v>
      </c>
      <c r="D25" s="179"/>
      <c r="E25" s="6">
        <f>VLOOKUP($B25,'Instituional Equity Calc'!B6:T20,19,FALSE)</f>
        <v>87389557.805089876</v>
      </c>
      <c r="F25" s="179"/>
      <c r="G25" s="14">
        <f t="shared" si="8"/>
        <v>478642289.30528647</v>
      </c>
      <c r="I25" s="6">
        <f t="shared" si="5"/>
        <v>23433.756575426909</v>
      </c>
      <c r="K25" s="6">
        <f t="shared" si="6"/>
        <v>19155.267878134826</v>
      </c>
      <c r="L25" s="75"/>
      <c r="M25" s="35">
        <f t="shared" si="7"/>
        <v>4278.4886972920813</v>
      </c>
      <c r="N25" s="88"/>
      <c r="O25" s="107"/>
    </row>
    <row r="26" spans="2:17" ht="15" customHeight="1" x14ac:dyDescent="0.2">
      <c r="B26" s="38" t="s">
        <v>5</v>
      </c>
      <c r="C26" s="6">
        <f>VLOOKUP(B26,'Institutional Base Calc'!$B$4:$Y$18,24,FALSE)</f>
        <v>116732278.55743204</v>
      </c>
      <c r="D26" s="179"/>
      <c r="E26" s="6">
        <f>VLOOKUP($B26,'Instituional Equity Calc'!B7:T21,19,FALSE)</f>
        <v>55567587.031071618</v>
      </c>
      <c r="F26" s="179"/>
      <c r="G26" s="14">
        <f t="shared" si="8"/>
        <v>172299865.58850366</v>
      </c>
      <c r="I26" s="6">
        <f t="shared" si="5"/>
        <v>28798.239276032702</v>
      </c>
      <c r="K26" s="6">
        <f t="shared" si="6"/>
        <v>19510.659962799939</v>
      </c>
      <c r="L26" s="75"/>
      <c r="M26" s="35">
        <f t="shared" si="7"/>
        <v>9287.5793132327617</v>
      </c>
      <c r="O26" s="107"/>
    </row>
    <row r="27" spans="2:17" ht="15" customHeight="1" x14ac:dyDescent="0.2">
      <c r="B27" s="38" t="s">
        <v>6</v>
      </c>
      <c r="C27" s="6">
        <f>VLOOKUP(B27,'Institutional Base Calc'!$B$4:$Y$18,24,FALSE)</f>
        <v>321816544.78480488</v>
      </c>
      <c r="D27" s="179"/>
      <c r="E27" s="6">
        <f>VLOOKUP($B27,'Instituional Equity Calc'!B8:T22,19,FALSE)</f>
        <v>86264433.522262707</v>
      </c>
      <c r="F27" s="179"/>
      <c r="G27" s="14">
        <f t="shared" si="8"/>
        <v>408080978.30706757</v>
      </c>
      <c r="I27" s="6">
        <f t="shared" si="5"/>
        <v>25736.691366490133</v>
      </c>
      <c r="K27" s="6">
        <f t="shared" si="6"/>
        <v>20296.199847679422</v>
      </c>
      <c r="L27" s="75"/>
      <c r="M27" s="35">
        <f t="shared" si="7"/>
        <v>5440.4915188107152</v>
      </c>
      <c r="O27" s="107"/>
    </row>
    <row r="28" spans="2:17" ht="15" customHeight="1" x14ac:dyDescent="0.2">
      <c r="B28" s="38" t="s">
        <v>7</v>
      </c>
      <c r="C28" s="6">
        <f>VLOOKUP(B28,'Institutional Base Calc'!$B$4:$Y$18,24,FALSE)</f>
        <v>247266998.77407947</v>
      </c>
      <c r="D28" s="179"/>
      <c r="E28" s="6">
        <f>VLOOKUP($B28,'Instituional Equity Calc'!B9:T23,19,FALSE)</f>
        <v>50320605.84343686</v>
      </c>
      <c r="F28" s="179"/>
      <c r="G28" s="14">
        <f t="shared" si="8"/>
        <v>297587604.61751634</v>
      </c>
      <c r="I28" s="6">
        <f t="shared" si="5"/>
        <v>26807.279039502417</v>
      </c>
      <c r="K28" s="6">
        <f t="shared" si="6"/>
        <v>22274.299502214166</v>
      </c>
      <c r="L28" s="75"/>
      <c r="M28" s="35">
        <f t="shared" si="7"/>
        <v>4532.97953728825</v>
      </c>
      <c r="O28" s="107"/>
    </row>
    <row r="29" spans="2:17" ht="15" customHeight="1" x14ac:dyDescent="0.2">
      <c r="B29" s="38" t="s">
        <v>8</v>
      </c>
      <c r="C29" s="6">
        <f>VLOOKUP(B29,'Institutional Base Calc'!$B$4:$Y$18,24,FALSE)</f>
        <v>263199215.93940118</v>
      </c>
      <c r="D29" s="179"/>
      <c r="E29" s="6">
        <f>VLOOKUP($B29,'Instituional Equity Calc'!B10:T24,19,FALSE)</f>
        <v>67128243.942473054</v>
      </c>
      <c r="F29" s="179"/>
      <c r="G29" s="14">
        <f>E29+C29</f>
        <v>330327459.8818742</v>
      </c>
      <c r="I29" s="6">
        <f t="shared" si="5"/>
        <v>26092.216420369212</v>
      </c>
      <c r="K29" s="6">
        <f t="shared" si="6"/>
        <v>20789.827483365021</v>
      </c>
      <c r="L29" s="75"/>
      <c r="M29" s="35">
        <f t="shared" si="7"/>
        <v>5302.3889370041907</v>
      </c>
      <c r="O29" s="107"/>
    </row>
    <row r="30" spans="2:17" ht="15" customHeight="1" x14ac:dyDescent="0.2">
      <c r="B30" s="38" t="s">
        <v>9</v>
      </c>
      <c r="C30" s="6">
        <f>VLOOKUP(B30,'Institutional Base Calc'!$B$4:$Y$18,24,FALSE)</f>
        <v>722977272.24137032</v>
      </c>
      <c r="D30" s="179"/>
      <c r="E30" s="6">
        <f>VLOOKUP($B30,'Instituional Equity Calc'!B11:T25,19,FALSE)</f>
        <v>207923121.5858826</v>
      </c>
      <c r="F30" s="179"/>
      <c r="G30" s="14">
        <f t="shared" si="8"/>
        <v>930900393.82725286</v>
      </c>
      <c r="I30" s="6">
        <f t="shared" si="5"/>
        <v>28186.894986593983</v>
      </c>
      <c r="K30" s="6">
        <f t="shared" si="6"/>
        <v>21891.154612770857</v>
      </c>
      <c r="L30" s="75"/>
      <c r="M30" s="35">
        <f t="shared" si="7"/>
        <v>6295.7403738231278</v>
      </c>
      <c r="O30" s="107"/>
    </row>
    <row r="31" spans="2:17" ht="15" customHeight="1" x14ac:dyDescent="0.2">
      <c r="B31" s="38" t="s">
        <v>10</v>
      </c>
      <c r="C31" s="6">
        <f>VLOOKUP(B31,'Institutional Base Calc'!$B$4:$Y$18,24,FALSE)</f>
        <v>77080626.288512006</v>
      </c>
      <c r="D31" s="179"/>
      <c r="E31" s="6">
        <f>VLOOKUP($B31,'Instituional Equity Calc'!B12:T26,19,FALSE)</f>
        <v>16633768.480529906</v>
      </c>
      <c r="F31" s="179"/>
      <c r="G31" s="14">
        <f t="shared" si="8"/>
        <v>93714394.769041911</v>
      </c>
      <c r="I31" s="6">
        <f t="shared" si="5"/>
        <v>23805.519416352727</v>
      </c>
      <c r="K31" s="6">
        <f t="shared" si="6"/>
        <v>19580.176025870958</v>
      </c>
      <c r="L31" s="75"/>
      <c r="M31" s="35">
        <f t="shared" si="7"/>
        <v>4225.3433904817712</v>
      </c>
      <c r="O31" s="107"/>
    </row>
    <row r="32" spans="2:17" ht="15" customHeight="1" x14ac:dyDescent="0.2">
      <c r="B32" s="38" t="s">
        <v>11</v>
      </c>
      <c r="C32" s="6">
        <f>VLOOKUP(B32,'Institutional Base Calc'!$B$4:$Y$18,24,FALSE)</f>
        <v>1116858384.8063006</v>
      </c>
      <c r="D32" s="179"/>
      <c r="E32" s="6">
        <f>VLOOKUP($B32,'Instituional Equity Calc'!B13:T27,19,FALSE)</f>
        <v>131768449.29060408</v>
      </c>
      <c r="F32" s="179"/>
      <c r="G32" s="14">
        <f t="shared" si="8"/>
        <v>1248626834.0969048</v>
      </c>
      <c r="I32" s="6">
        <f t="shared" si="5"/>
        <v>23278.049840545329</v>
      </c>
      <c r="K32" s="6">
        <f t="shared" si="6"/>
        <v>20821.501217500117</v>
      </c>
      <c r="L32" s="75"/>
      <c r="M32" s="35">
        <f t="shared" si="7"/>
        <v>2456.5486230452107</v>
      </c>
      <c r="O32" s="107"/>
    </row>
    <row r="33" spans="2:19" ht="15" customHeight="1" x14ac:dyDescent="0.2">
      <c r="B33" s="38" t="s">
        <v>12</v>
      </c>
      <c r="C33" s="6">
        <f>VLOOKUP(B33,'Institutional Base Calc'!$B$4:$Y$18,24,FALSE)</f>
        <v>149582416.9733811</v>
      </c>
      <c r="D33" s="179"/>
      <c r="E33" s="6">
        <f>VLOOKUP($B33,'Instituional Equity Calc'!B14:T28,19,FALSE)</f>
        <v>49466731.409379475</v>
      </c>
      <c r="F33" s="179"/>
      <c r="G33" s="14">
        <f t="shared" si="8"/>
        <v>199049148.38276058</v>
      </c>
      <c r="I33" s="6">
        <f t="shared" si="5"/>
        <v>26936.147103986725</v>
      </c>
      <c r="K33" s="6">
        <f t="shared" si="6"/>
        <v>20242.106135601214</v>
      </c>
      <c r="L33" s="75"/>
      <c r="M33" s="35">
        <f t="shared" si="7"/>
        <v>6694.0409683855123</v>
      </c>
      <c r="O33" s="107"/>
    </row>
    <row r="34" spans="2:19" ht="15" customHeight="1" x14ac:dyDescent="0.2">
      <c r="B34" s="39" t="s">
        <v>23</v>
      </c>
      <c r="C34" s="36">
        <f>VLOOKUP(B34,'Institutional Base Calc'!$B$4:$Y$18,24,FALSE)</f>
        <v>3670339143.8145523</v>
      </c>
      <c r="D34" s="180"/>
      <c r="E34" s="36">
        <f>VLOOKUP($B34,'Instituional Equity Calc'!B15:T29,19,FALSE)</f>
        <v>852334876.26746845</v>
      </c>
      <c r="F34" s="180"/>
      <c r="G34" s="71">
        <f>E34+C34</f>
        <v>4522674020.0820208</v>
      </c>
      <c r="H34" s="19"/>
      <c r="I34" s="36">
        <f t="shared" si="5"/>
        <v>25531.540019506272</v>
      </c>
      <c r="J34" s="10"/>
      <c r="K34" s="36">
        <f t="shared" si="6"/>
        <v>20719.912670991525</v>
      </c>
      <c r="L34" s="95"/>
      <c r="M34" s="40">
        <f t="shared" si="7"/>
        <v>4811.6273485147503</v>
      </c>
      <c r="O34" s="8"/>
      <c r="R34" s="8"/>
    </row>
    <row r="35" spans="2:19" ht="15" customHeight="1" x14ac:dyDescent="0.2">
      <c r="C35" s="3"/>
      <c r="D35" s="3"/>
      <c r="E35" s="83"/>
      <c r="F35" s="87"/>
      <c r="G35" s="91"/>
      <c r="I35" s="6"/>
    </row>
    <row r="36" spans="2:19" ht="15" customHeight="1" x14ac:dyDescent="0.2">
      <c r="C36" s="3"/>
      <c r="D36" s="3"/>
      <c r="E36" s="102" t="s">
        <v>84</v>
      </c>
      <c r="F36" s="101"/>
      <c r="G36" s="103">
        <f>E34/G34</f>
        <v>0.18845817153366515</v>
      </c>
      <c r="I36" s="6"/>
    </row>
    <row r="37" spans="2:19" ht="15" customHeight="1" x14ac:dyDescent="0.2">
      <c r="C37" s="3"/>
      <c r="D37" s="3"/>
      <c r="E37" s="83"/>
      <c r="F37" s="87"/>
      <c r="G37" s="55"/>
      <c r="I37" s="6"/>
    </row>
    <row r="38" spans="2:19" ht="19" x14ac:dyDescent="0.25">
      <c r="B38" s="178" t="s">
        <v>54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</row>
    <row r="39" spans="2:19" ht="15" customHeight="1" x14ac:dyDescent="0.2"/>
    <row r="40" spans="2:19" ht="39" customHeight="1" x14ac:dyDescent="0.2">
      <c r="B40" s="85" t="s">
        <v>13</v>
      </c>
      <c r="C40" s="34" t="s">
        <v>126</v>
      </c>
      <c r="D40" s="54"/>
      <c r="E40" s="34" t="s">
        <v>77</v>
      </c>
      <c r="F40" s="54"/>
      <c r="G40" s="34" t="s">
        <v>52</v>
      </c>
      <c r="H40" s="37"/>
      <c r="I40" s="72" t="s">
        <v>53</v>
      </c>
      <c r="J40" s="37"/>
      <c r="K40" s="34" t="s">
        <v>58</v>
      </c>
      <c r="L40" s="37"/>
      <c r="M40" s="34" t="s">
        <v>76</v>
      </c>
      <c r="N40" s="37"/>
      <c r="O40" s="34" t="s">
        <v>71</v>
      </c>
      <c r="P40" s="37"/>
      <c r="Q40" s="86" t="s">
        <v>73</v>
      </c>
    </row>
    <row r="41" spans="2:19" ht="15" customHeight="1" x14ac:dyDescent="0.2">
      <c r="B41" s="38" t="s">
        <v>1</v>
      </c>
      <c r="C41" s="6">
        <f>VLOOKUP($B41,'School Data'!$B$2:$X$15,23,FALSE)</f>
        <v>39493233.333333336</v>
      </c>
      <c r="D41" s="179" t="s">
        <v>29</v>
      </c>
      <c r="E41" s="6">
        <f>VLOOKUP($B41,'ESS Calculation'!$B$2:$K$15,10,FALSE)</f>
        <v>12580681.478475502</v>
      </c>
      <c r="F41" s="179" t="s">
        <v>29</v>
      </c>
      <c r="G41" s="6">
        <f>VLOOKUP($B41,'School Data'!$B$2:$Y$15,24,FALSE)*'Model Costs and Assumptions'!$D$32</f>
        <v>249301.50000000003</v>
      </c>
      <c r="H41" s="179" t="s">
        <v>30</v>
      </c>
      <c r="I41" s="14">
        <f t="shared" ref="I41:I53" si="9">E41+C41+G41</f>
        <v>52323216.311808839</v>
      </c>
      <c r="K41" s="6">
        <f t="shared" ref="K41:K53" si="10">I41/C5</f>
        <v>22117.746785321477</v>
      </c>
      <c r="M41" s="6">
        <f t="shared" ref="M41:M53" si="11">C41/C5</f>
        <v>16694.33563477526</v>
      </c>
      <c r="O41" s="6">
        <f t="shared" ref="O41:O53" si="12">E41/C5</f>
        <v>5318.0279604659017</v>
      </c>
      <c r="Q41" s="35">
        <f t="shared" ref="Q41:Q53" si="13">G41/C5</f>
        <v>105.38319008031564</v>
      </c>
      <c r="S41" s="6"/>
    </row>
    <row r="42" spans="2:19" ht="15" customHeight="1" x14ac:dyDescent="0.2">
      <c r="B42" s="38" t="s">
        <v>2</v>
      </c>
      <c r="C42" s="6">
        <f>VLOOKUP($B42,'School Data'!$B$2:$X$15,23,FALSE)</f>
        <v>42979166.666666664</v>
      </c>
      <c r="D42" s="179"/>
      <c r="E42" s="6">
        <f>VLOOKUP($B42,'ESS Calculation'!$B$2:$K$15,10,FALSE)</f>
        <v>54541983.176935434</v>
      </c>
      <c r="F42" s="179"/>
      <c r="G42" s="6">
        <f>VLOOKUP($B42,'School Data'!$B$2:$Y$15,24,FALSE)*'Model Costs and Assumptions'!$D$32</f>
        <v>2429306.25</v>
      </c>
      <c r="H42" s="179"/>
      <c r="I42" s="14">
        <f t="shared" si="9"/>
        <v>99950456.093602091</v>
      </c>
      <c r="K42" s="6">
        <f t="shared" si="10"/>
        <v>15766.714075129154</v>
      </c>
      <c r="M42" s="6">
        <f t="shared" si="11"/>
        <v>6779.7612787885155</v>
      </c>
      <c r="O42" s="6">
        <f t="shared" si="12"/>
        <v>8603.7411678833887</v>
      </c>
      <c r="Q42" s="35">
        <f t="shared" si="13"/>
        <v>383.21162845725098</v>
      </c>
      <c r="S42" s="6"/>
    </row>
    <row r="43" spans="2:19" ht="15" customHeight="1" x14ac:dyDescent="0.2">
      <c r="B43" s="38" t="s">
        <v>3</v>
      </c>
      <c r="C43" s="6">
        <f>VLOOKUP($B43,'School Data'!$B$2:$X$15,23,FALSE)</f>
        <v>23966733.333333332</v>
      </c>
      <c r="D43" s="179"/>
      <c r="E43" s="6">
        <f>VLOOKUP($B43,'ESS Calculation'!$B$2:$K$15,10,FALSE)</f>
        <v>26431017.386942446</v>
      </c>
      <c r="F43" s="179"/>
      <c r="G43" s="6">
        <f>VLOOKUP($B43,'School Data'!$B$2:$Y$15,24,FALSE)*'Model Costs and Assumptions'!$D$32</f>
        <v>94893.75</v>
      </c>
      <c r="H43" s="179"/>
      <c r="I43" s="14">
        <f t="shared" si="9"/>
        <v>50492644.470275775</v>
      </c>
      <c r="K43" s="6">
        <f t="shared" si="10"/>
        <v>11427.984414245744</v>
      </c>
      <c r="M43" s="6">
        <f t="shared" si="11"/>
        <v>5424.3832516031689</v>
      </c>
      <c r="O43" s="6">
        <f t="shared" si="12"/>
        <v>5982.1238899153032</v>
      </c>
      <c r="Q43" s="35">
        <f t="shared" si="13"/>
        <v>21.47727272727273</v>
      </c>
      <c r="S43" s="6"/>
    </row>
    <row r="44" spans="2:19" ht="15" customHeight="1" x14ac:dyDescent="0.2">
      <c r="B44" s="38" t="s">
        <v>4</v>
      </c>
      <c r="C44" s="6">
        <f>VLOOKUP($B44,'School Data'!$B$2:$X$15,23,FALSE)</f>
        <v>71966633.333333328</v>
      </c>
      <c r="D44" s="179"/>
      <c r="E44" s="6">
        <f>VLOOKUP($B44,'ESS Calculation'!$B$2:$K$15,10,FALSE)</f>
        <v>183578660.01814538</v>
      </c>
      <c r="F44" s="179"/>
      <c r="G44" s="6">
        <f>VLOOKUP($B44,'School Data'!$B$2:$Y$15,24,FALSE)*'Model Costs and Assumptions'!$D$32</f>
        <v>5644706.5500000007</v>
      </c>
      <c r="H44" s="179"/>
      <c r="I44" s="14">
        <f t="shared" si="9"/>
        <v>261189999.90147871</v>
      </c>
      <c r="K44" s="6">
        <f t="shared" si="10"/>
        <v>12787.551401926301</v>
      </c>
      <c r="M44" s="6">
        <f t="shared" si="11"/>
        <v>3523.4006788954885</v>
      </c>
      <c r="O44" s="6">
        <f t="shared" si="12"/>
        <v>8987.7926113720878</v>
      </c>
      <c r="Q44" s="35">
        <f t="shared" si="13"/>
        <v>276.35811165872445</v>
      </c>
      <c r="S44" s="6"/>
    </row>
    <row r="45" spans="2:19" ht="15" customHeight="1" x14ac:dyDescent="0.2">
      <c r="B45" s="38" t="s">
        <v>5</v>
      </c>
      <c r="C45" s="6">
        <f>VLOOKUP($B45,'School Data'!$B$2:$X$15,23,FALSE)</f>
        <v>36752500</v>
      </c>
      <c r="D45" s="179"/>
      <c r="E45" s="6">
        <f>VLOOKUP($B45,'ESS Calculation'!$B$2:$K$15,10,FALSE)</f>
        <v>28609456.236451697</v>
      </c>
      <c r="F45" s="179"/>
      <c r="G45" s="6">
        <f>VLOOKUP($B45,'School Data'!$B$2:$Y$15,24,FALSE)*'Model Costs and Assumptions'!$D$32</f>
        <v>481791.45</v>
      </c>
      <c r="H45" s="179"/>
      <c r="I45" s="14">
        <f t="shared" si="9"/>
        <v>65843747.686451703</v>
      </c>
      <c r="K45" s="6">
        <f t="shared" si="10"/>
        <v>11005.1391754056</v>
      </c>
      <c r="M45" s="6">
        <f t="shared" si="11"/>
        <v>6142.8213270934311</v>
      </c>
      <c r="O45" s="6">
        <f t="shared" si="12"/>
        <v>4781.7911142322746</v>
      </c>
      <c r="Q45" s="35">
        <f t="shared" si="13"/>
        <v>80.526734079893032</v>
      </c>
      <c r="S45" s="6"/>
    </row>
    <row r="46" spans="2:19" ht="15" customHeight="1" x14ac:dyDescent="0.2">
      <c r="B46" s="38" t="s">
        <v>6</v>
      </c>
      <c r="C46" s="6">
        <f>VLOOKUP($B46,'School Data'!$B$2:$X$15,23,FALSE)</f>
        <v>90757866.666666672</v>
      </c>
      <c r="D46" s="179"/>
      <c r="E46" s="6">
        <f>VLOOKUP($B46,'ESS Calculation'!$B$2:$K$15,10,FALSE)</f>
        <v>126449046.02101485</v>
      </c>
      <c r="F46" s="179"/>
      <c r="G46" s="6">
        <f>VLOOKUP($B46,'School Data'!$B$2:$Y$15,24,FALSE)*'Model Costs and Assumptions'!$D$32</f>
        <v>3381103.9499999997</v>
      </c>
      <c r="H46" s="179"/>
      <c r="I46" s="14">
        <f t="shared" si="9"/>
        <v>220588016.63768151</v>
      </c>
      <c r="K46" s="6">
        <f t="shared" si="10"/>
        <v>13911.958667865887</v>
      </c>
      <c r="M46" s="6">
        <f t="shared" si="11"/>
        <v>5723.8816010763539</v>
      </c>
      <c r="O46" s="6">
        <f t="shared" si="12"/>
        <v>7974.8389266533086</v>
      </c>
      <c r="Q46" s="35">
        <f t="shared" si="13"/>
        <v>213.23814013622601</v>
      </c>
      <c r="S46" s="6"/>
    </row>
    <row r="47" spans="2:19" ht="15" customHeight="1" x14ac:dyDescent="0.2">
      <c r="B47" s="38" t="s">
        <v>7</v>
      </c>
      <c r="C47" s="6">
        <f>VLOOKUP($B47,'School Data'!$B$2:$X$15,23,FALSE)</f>
        <v>135660014.72931176</v>
      </c>
      <c r="D47" s="179"/>
      <c r="E47" s="6">
        <f>VLOOKUP($B47,'ESS Calculation'!$B$2:$K$15,10,FALSE)</f>
        <v>126886289.59101304</v>
      </c>
      <c r="F47" s="179"/>
      <c r="G47" s="6">
        <f>VLOOKUP($B47,'School Data'!$B$2:$Y$15,24,FALSE)*'Model Costs and Assumptions'!$D$32</f>
        <v>6345620.4000000004</v>
      </c>
      <c r="H47" s="179"/>
      <c r="I47" s="14">
        <f t="shared" si="9"/>
        <v>268891924.72032481</v>
      </c>
      <c r="K47" s="6">
        <f t="shared" si="10"/>
        <v>24222.315531963319</v>
      </c>
      <c r="M47" s="6">
        <f t="shared" si="11"/>
        <v>12220.522000658659</v>
      </c>
      <c r="O47" s="6">
        <f t="shared" si="12"/>
        <v>11430.167515630397</v>
      </c>
      <c r="Q47" s="35">
        <f t="shared" si="13"/>
        <v>571.62601567426361</v>
      </c>
      <c r="S47" s="6"/>
    </row>
    <row r="48" spans="2:19" ht="15" customHeight="1" x14ac:dyDescent="0.2">
      <c r="B48" s="38" t="s">
        <v>8</v>
      </c>
      <c r="C48" s="6">
        <f>VLOOKUP($B48,'School Data'!$B$2:$X$15,23,FALSE)</f>
        <v>63543851.937354892</v>
      </c>
      <c r="D48" s="179"/>
      <c r="E48" s="6">
        <f>VLOOKUP($B48,'ESS Calculation'!$B$2:$K$15,10,FALSE)</f>
        <v>135976559.64919835</v>
      </c>
      <c r="F48" s="179"/>
      <c r="G48" s="6">
        <f>VLOOKUP($B48,'School Data'!$B$2:$Y$15,24,FALSE)*'Model Costs and Assumptions'!$D$32</f>
        <v>1049993.7</v>
      </c>
      <c r="H48" s="179"/>
      <c r="I48" s="14">
        <f t="shared" si="9"/>
        <v>200570405.28655323</v>
      </c>
      <c r="K48" s="6">
        <f t="shared" si="10"/>
        <v>15842.844019474978</v>
      </c>
      <c r="M48" s="6">
        <f t="shared" si="11"/>
        <v>5019.2616064261365</v>
      </c>
      <c r="O48" s="6">
        <f t="shared" si="12"/>
        <v>10740.644522053582</v>
      </c>
      <c r="Q48" s="35">
        <f t="shared" si="13"/>
        <v>82.937890995260659</v>
      </c>
      <c r="S48" s="6"/>
    </row>
    <row r="49" spans="2:19" ht="15" customHeight="1" x14ac:dyDescent="0.2">
      <c r="B49" s="38" t="s">
        <v>9</v>
      </c>
      <c r="C49" s="6">
        <f>VLOOKUP($B49,'School Data'!$B$2:$X$15,23,FALSE)</f>
        <v>252840398.47202086</v>
      </c>
      <c r="D49" s="179"/>
      <c r="E49" s="6">
        <f>VLOOKUP($B49,'ESS Calculation'!$B$2:$K$15,10,FALSE)</f>
        <v>304459624.38637894</v>
      </c>
      <c r="F49" s="179"/>
      <c r="G49" s="6">
        <f>VLOOKUP($B49,'School Data'!$B$2:$Y$15,24,FALSE)*'Model Costs and Assumptions'!$D$32</f>
        <v>16430127.413978126</v>
      </c>
      <c r="H49" s="179"/>
      <c r="I49" s="14">
        <f t="shared" si="9"/>
        <v>573730150.27237797</v>
      </c>
      <c r="K49" s="6">
        <f t="shared" si="10"/>
        <v>17372.075040040512</v>
      </c>
      <c r="M49" s="6">
        <f t="shared" si="11"/>
        <v>7655.7984155520153</v>
      </c>
      <c r="O49" s="6">
        <f t="shared" si="12"/>
        <v>9218.7859379391666</v>
      </c>
      <c r="Q49" s="35">
        <f t="shared" si="13"/>
        <v>497.49068654932859</v>
      </c>
      <c r="S49" s="6"/>
    </row>
    <row r="50" spans="2:19" ht="15" customHeight="1" x14ac:dyDescent="0.2">
      <c r="B50" s="38" t="s">
        <v>10</v>
      </c>
      <c r="C50" s="6">
        <f>VLOOKUP($B50,'School Data'!$B$2:$X$15,23,FALSE)</f>
        <v>24934641.605156694</v>
      </c>
      <c r="D50" s="179"/>
      <c r="E50" s="6">
        <f>VLOOKUP($B50,'ESS Calculation'!$B$2:$K$15,10,FALSE)</f>
        <v>39402819.898195624</v>
      </c>
      <c r="F50" s="179"/>
      <c r="G50" s="6">
        <f>VLOOKUP($B50,'School Data'!$B$2:$Y$15,24,FALSE)*'Model Costs and Assumptions'!$D$32</f>
        <v>865894.85193756467</v>
      </c>
      <c r="H50" s="179"/>
      <c r="I50" s="14">
        <f t="shared" si="9"/>
        <v>65203356.355289876</v>
      </c>
      <c r="K50" s="6">
        <f t="shared" si="10"/>
        <v>16563.087981868721</v>
      </c>
      <c r="M50" s="6">
        <f t="shared" si="11"/>
        <v>6333.9479098619877</v>
      </c>
      <c r="O50" s="6">
        <f t="shared" si="12"/>
        <v>10009.183716730471</v>
      </c>
      <c r="Q50" s="35">
        <f t="shared" si="13"/>
        <v>219.95635527626536</v>
      </c>
      <c r="S50" s="6"/>
    </row>
    <row r="51" spans="2:19" ht="15" customHeight="1" x14ac:dyDescent="0.2">
      <c r="B51" s="38" t="s">
        <v>11</v>
      </c>
      <c r="C51" s="6">
        <f>VLOOKUP($B51,'School Data'!$B$2:$X$15,23,FALSE)</f>
        <v>308098926.5894891</v>
      </c>
      <c r="D51" s="179"/>
      <c r="E51" s="6">
        <f>VLOOKUP($B51,'ESS Calculation'!$B$2:$K$15,10,FALSE)</f>
        <v>726831759.1251899</v>
      </c>
      <c r="F51" s="179"/>
      <c r="G51" s="6">
        <f>VLOOKUP($B51,'School Data'!$B$2:$Y$15,24,FALSE)*'Model Costs and Assumptions'!$D$32</f>
        <v>80168399.68408446</v>
      </c>
      <c r="H51" s="179"/>
      <c r="I51" s="14">
        <f t="shared" si="9"/>
        <v>1115099085.3987634</v>
      </c>
      <c r="K51" s="6">
        <f t="shared" si="10"/>
        <v>20788.702739864715</v>
      </c>
      <c r="M51" s="6">
        <f t="shared" si="11"/>
        <v>5743.8635572459889</v>
      </c>
      <c r="O51" s="6">
        <f t="shared" si="12"/>
        <v>13550.26614244166</v>
      </c>
      <c r="Q51" s="35">
        <f t="shared" si="13"/>
        <v>1494.5730401770666</v>
      </c>
      <c r="S51" s="6"/>
    </row>
    <row r="52" spans="2:19" ht="15" customHeight="1" x14ac:dyDescent="0.2">
      <c r="B52" s="38" t="s">
        <v>12</v>
      </c>
      <c r="C52" s="6">
        <f>VLOOKUP($B52,'School Data'!$B$2:$X$15,23,FALSE)</f>
        <v>51250933.333333336</v>
      </c>
      <c r="D52" s="179"/>
      <c r="E52" s="6">
        <f>VLOOKUP($B52,'ESS Calculation'!$B$2:$K$15,10,FALSE)</f>
        <v>67688928.18057926</v>
      </c>
      <c r="F52" s="179"/>
      <c r="G52" s="6">
        <f>VLOOKUP($B52,'School Data'!$B$2:$Y$15,24,FALSE)*'Model Costs and Assumptions'!$D$32</f>
        <v>2407921.9500000002</v>
      </c>
      <c r="H52" s="179"/>
      <c r="I52" s="14">
        <f t="shared" si="9"/>
        <v>121347783.46391259</v>
      </c>
      <c r="K52" s="6">
        <f t="shared" si="10"/>
        <v>16421.279732587747</v>
      </c>
      <c r="M52" s="6">
        <f t="shared" si="11"/>
        <v>6935.486490143895</v>
      </c>
      <c r="O52" s="6">
        <f t="shared" si="12"/>
        <v>9159.9433687463479</v>
      </c>
      <c r="Q52" s="35">
        <f t="shared" si="13"/>
        <v>325.84987369750553</v>
      </c>
      <c r="S52" s="6"/>
    </row>
    <row r="53" spans="2:19" ht="15" customHeight="1" x14ac:dyDescent="0.2">
      <c r="B53" s="39" t="s">
        <v>23</v>
      </c>
      <c r="C53" s="36">
        <f>VLOOKUP($B53,'School Data'!$B$2:$X$15,23,FALSE)</f>
        <v>1142244899.9999998</v>
      </c>
      <c r="D53" s="180"/>
      <c r="E53" s="36">
        <f>VLOOKUP($B53,'ESS Calculation'!$B$2:$K$15,10,FALSE)</f>
        <v>1833436825.1485205</v>
      </c>
      <c r="F53" s="180"/>
      <c r="G53" s="36">
        <f>VLOOKUP($B53,'School Data'!$B$2:$Y$15,24,FALSE)*'Model Costs and Assumptions'!$D$32</f>
        <v>119549061.45000015</v>
      </c>
      <c r="H53" s="180"/>
      <c r="I53" s="71">
        <f t="shared" si="9"/>
        <v>3095230786.5985208</v>
      </c>
      <c r="J53" s="19"/>
      <c r="K53" s="36">
        <f t="shared" si="10"/>
        <v>17473.293088723392</v>
      </c>
      <c r="L53" s="19"/>
      <c r="M53" s="36">
        <f t="shared" si="11"/>
        <v>6448.2364298053135</v>
      </c>
      <c r="N53" s="19"/>
      <c r="O53" s="36">
        <f t="shared" si="12"/>
        <v>10350.174579610106</v>
      </c>
      <c r="P53" s="19"/>
      <c r="Q53" s="40">
        <f t="shared" si="13"/>
        <v>674.8820793079708</v>
      </c>
      <c r="S53" s="6"/>
    </row>
    <row r="54" spans="2:19" ht="15" customHeight="1" x14ac:dyDescent="0.2">
      <c r="C54" s="6"/>
      <c r="G54" s="8"/>
      <c r="M54" s="66"/>
    </row>
    <row r="55" spans="2:19" ht="64" x14ac:dyDescent="0.2">
      <c r="B55" s="85" t="s">
        <v>13</v>
      </c>
      <c r="C55" s="34" t="s">
        <v>57</v>
      </c>
      <c r="D55" s="37"/>
      <c r="E55" s="34" t="s">
        <v>78</v>
      </c>
      <c r="F55" s="37"/>
      <c r="G55" s="34" t="s">
        <v>79</v>
      </c>
      <c r="H55" s="37"/>
      <c r="I55" s="34" t="s">
        <v>80</v>
      </c>
      <c r="J55" s="37"/>
      <c r="K55" s="86" t="s">
        <v>85</v>
      </c>
    </row>
    <row r="56" spans="2:19" ht="15" customHeight="1" x14ac:dyDescent="0.2">
      <c r="B56" s="38" t="s">
        <v>1</v>
      </c>
      <c r="C56" s="6">
        <f t="shared" ref="C56:C68" si="14">E5/C5</f>
        <v>33374.622089146702</v>
      </c>
      <c r="E56" s="96">
        <f>(I22-O41-Q41)/C56</f>
        <v>0.83749894946945669</v>
      </c>
      <c r="G56" s="96">
        <f t="shared" ref="G56:G68" si="15">O41/C56</f>
        <v>0.15934346601022051</v>
      </c>
      <c r="H56" s="6"/>
      <c r="I56" s="96">
        <f t="shared" ref="I56:I68" si="16">Q41/C56</f>
        <v>3.1575845203228787E-3</v>
      </c>
      <c r="J56" s="6"/>
      <c r="K56" s="35">
        <f>C56*E56</f>
        <v>27951.210938600485</v>
      </c>
    </row>
    <row r="57" spans="2:19" ht="15" customHeight="1" x14ac:dyDescent="0.2">
      <c r="B57" s="38" t="s">
        <v>2</v>
      </c>
      <c r="C57" s="6">
        <f t="shared" si="14"/>
        <v>26554.622837710878</v>
      </c>
      <c r="E57" s="96">
        <f t="shared" ref="E57:E68" si="17">(I23-O42-Q42)/C57</f>
        <v>0.66156729653949198</v>
      </c>
      <c r="G57" s="96">
        <f t="shared" si="15"/>
        <v>0.324001633179478</v>
      </c>
      <c r="H57" s="6"/>
      <c r="I57" s="96">
        <f t="shared" si="16"/>
        <v>1.4431070281030038E-2</v>
      </c>
      <c r="J57" s="6"/>
      <c r="K57" s="35">
        <f t="shared" ref="K57:K68" si="18">C57*E57</f>
        <v>17567.670041370238</v>
      </c>
    </row>
    <row r="58" spans="2:19" ht="15" customHeight="1" x14ac:dyDescent="0.2">
      <c r="B58" s="38" t="s">
        <v>3</v>
      </c>
      <c r="C58" s="6">
        <f t="shared" si="14"/>
        <v>26288.920695826244</v>
      </c>
      <c r="E58" s="96">
        <f t="shared" si="17"/>
        <v>0.77162998693986951</v>
      </c>
      <c r="G58" s="96">
        <f t="shared" si="15"/>
        <v>0.22755304255853509</v>
      </c>
      <c r="H58" s="6"/>
      <c r="I58" s="96">
        <f t="shared" si="16"/>
        <v>8.1697050159547119E-4</v>
      </c>
      <c r="J58" s="6"/>
      <c r="K58" s="35">
        <f t="shared" si="18"/>
        <v>20285.319533183669</v>
      </c>
    </row>
    <row r="59" spans="2:19" ht="15" customHeight="1" x14ac:dyDescent="0.2">
      <c r="B59" s="38" t="s">
        <v>4</v>
      </c>
      <c r="C59" s="6">
        <f t="shared" si="14"/>
        <v>23433.756575426909</v>
      </c>
      <c r="E59" s="96">
        <f t="shared" si="17"/>
        <v>0.60466642669040183</v>
      </c>
      <c r="G59" s="96">
        <f t="shared" si="15"/>
        <v>0.38354041028133157</v>
      </c>
      <c r="H59" s="6"/>
      <c r="I59" s="96">
        <f t="shared" si="16"/>
        <v>1.1793163028266621E-2</v>
      </c>
      <c r="J59" s="6"/>
      <c r="K59" s="35">
        <f t="shared" si="18"/>
        <v>14169.605852396096</v>
      </c>
    </row>
    <row r="60" spans="2:19" ht="15" customHeight="1" x14ac:dyDescent="0.2">
      <c r="B60" s="38" t="s">
        <v>5</v>
      </c>
      <c r="C60" s="6">
        <f t="shared" si="14"/>
        <v>28798.239276032702</v>
      </c>
      <c r="E60" s="96">
        <f t="shared" si="17"/>
        <v>0.83115919686246842</v>
      </c>
      <c r="G60" s="96">
        <f t="shared" si="15"/>
        <v>0.16604456503047094</v>
      </c>
      <c r="H60" s="6"/>
      <c r="I60" s="96">
        <f t="shared" si="16"/>
        <v>2.7962381070606389E-3</v>
      </c>
      <c r="J60" s="6"/>
      <c r="K60" s="35">
        <f t="shared" si="18"/>
        <v>23935.921427720536</v>
      </c>
    </row>
    <row r="61" spans="2:19" ht="15" customHeight="1" x14ac:dyDescent="0.2">
      <c r="B61" s="38" t="s">
        <v>6</v>
      </c>
      <c r="C61" s="6">
        <f t="shared" si="14"/>
        <v>25736.691366490133</v>
      </c>
      <c r="E61" s="96">
        <f t="shared" si="17"/>
        <v>0.68185199293135901</v>
      </c>
      <c r="G61" s="96">
        <f t="shared" si="15"/>
        <v>0.30986263203345416</v>
      </c>
      <c r="H61" s="6"/>
      <c r="I61" s="96">
        <f t="shared" si="16"/>
        <v>8.2853750351868389E-3</v>
      </c>
      <c r="J61" s="6"/>
      <c r="K61" s="35">
        <f t="shared" si="18"/>
        <v>17548.614299700599</v>
      </c>
    </row>
    <row r="62" spans="2:19" ht="15" customHeight="1" x14ac:dyDescent="0.2">
      <c r="B62" s="38" t="s">
        <v>7</v>
      </c>
      <c r="C62" s="6">
        <f t="shared" si="14"/>
        <v>26807.279039502417</v>
      </c>
      <c r="E62" s="96">
        <f t="shared" si="17"/>
        <v>0.55229348291487657</v>
      </c>
      <c r="G62" s="96">
        <f t="shared" si="15"/>
        <v>0.42638297974170519</v>
      </c>
      <c r="H62" s="6"/>
      <c r="I62" s="96">
        <f t="shared" si="16"/>
        <v>2.132353734341827E-2</v>
      </c>
      <c r="J62" s="6"/>
      <c r="K62" s="35">
        <f t="shared" si="18"/>
        <v>14805.485508197757</v>
      </c>
      <c r="L62" s="6"/>
    </row>
    <row r="63" spans="2:19" ht="15" customHeight="1" x14ac:dyDescent="0.2">
      <c r="B63" s="38" t="s">
        <v>8</v>
      </c>
      <c r="C63" s="6">
        <f t="shared" si="14"/>
        <v>26092.216420369212</v>
      </c>
      <c r="E63" s="96">
        <f t="shared" si="17"/>
        <v>0.58517964749827533</v>
      </c>
      <c r="G63" s="96">
        <f t="shared" si="15"/>
        <v>0.4116417075886572</v>
      </c>
      <c r="H63" s="6"/>
      <c r="I63" s="96">
        <f t="shared" si="16"/>
        <v>3.1786449130674146E-3</v>
      </c>
      <c r="J63" s="6"/>
      <c r="K63" s="35">
        <f t="shared" si="18"/>
        <v>15268.634007320366</v>
      </c>
      <c r="L63" s="6"/>
    </row>
    <row r="64" spans="2:19" ht="15" customHeight="1" x14ac:dyDescent="0.2">
      <c r="B64" s="38" t="s">
        <v>9</v>
      </c>
      <c r="C64" s="6">
        <f t="shared" si="14"/>
        <v>28186.894986593983</v>
      </c>
      <c r="E64" s="96">
        <f t="shared" si="17"/>
        <v>0.65529099146572656</v>
      </c>
      <c r="G64" s="96">
        <f t="shared" si="15"/>
        <v>0.32705929270761214</v>
      </c>
      <c r="H64" s="6"/>
      <c r="I64" s="96">
        <f t="shared" si="16"/>
        <v>1.7649715826661326E-2</v>
      </c>
      <c r="J64" s="6"/>
      <c r="K64" s="35">
        <f t="shared" si="18"/>
        <v>18470.618362105488</v>
      </c>
      <c r="L64" s="6"/>
    </row>
    <row r="65" spans="2:16" ht="15" customHeight="1" x14ac:dyDescent="0.2">
      <c r="B65" s="38" t="s">
        <v>10</v>
      </c>
      <c r="C65" s="6">
        <f t="shared" si="14"/>
        <v>23805.519416352727</v>
      </c>
      <c r="E65" s="96">
        <f t="shared" si="17"/>
        <v>0.57030384873769935</v>
      </c>
      <c r="G65" s="96">
        <f t="shared" si="15"/>
        <v>0.42045643036273606</v>
      </c>
      <c r="H65" s="6"/>
      <c r="I65" s="96">
        <f t="shared" si="16"/>
        <v>9.2397208995646084E-3</v>
      </c>
      <c r="J65" s="6"/>
      <c r="K65" s="35">
        <f t="shared" si="18"/>
        <v>13576.379344345991</v>
      </c>
      <c r="L65" s="6"/>
    </row>
    <row r="66" spans="2:16" ht="15" customHeight="1" x14ac:dyDescent="0.2">
      <c r="B66" s="38" t="s">
        <v>11</v>
      </c>
      <c r="C66" s="6">
        <f t="shared" si="14"/>
        <v>23278.049840545329</v>
      </c>
      <c r="E66" s="96">
        <f t="shared" si="17"/>
        <v>0.3536898801370435</v>
      </c>
      <c r="G66" s="96">
        <f t="shared" si="15"/>
        <v>0.58210486854616261</v>
      </c>
      <c r="H66" s="6"/>
      <c r="I66" s="96">
        <f t="shared" si="16"/>
        <v>6.4205251316793874E-2</v>
      </c>
      <c r="J66" s="6"/>
      <c r="K66" s="35">
        <f t="shared" si="18"/>
        <v>8233.2106579266019</v>
      </c>
      <c r="L66" s="6"/>
    </row>
    <row r="67" spans="2:16" ht="15" customHeight="1" x14ac:dyDescent="0.2">
      <c r="B67" s="38" t="s">
        <v>12</v>
      </c>
      <c r="C67" s="6">
        <f t="shared" si="14"/>
        <v>26936.147103986725</v>
      </c>
      <c r="E67" s="96">
        <f t="shared" si="17"/>
        <v>0.64784149693629001</v>
      </c>
      <c r="G67" s="96">
        <f t="shared" si="15"/>
        <v>0.34006138047080298</v>
      </c>
      <c r="H67" s="6"/>
      <c r="I67" s="96">
        <f t="shared" si="16"/>
        <v>1.2097122592907046E-2</v>
      </c>
      <c r="J67" s="6"/>
      <c r="K67" s="35">
        <f t="shared" si="18"/>
        <v>17450.353861542873</v>
      </c>
      <c r="L67" s="6"/>
    </row>
    <row r="68" spans="2:16" ht="15" customHeight="1" x14ac:dyDescent="0.2">
      <c r="B68" s="39" t="s">
        <v>23</v>
      </c>
      <c r="C68" s="36">
        <f t="shared" si="14"/>
        <v>25531.540019506279</v>
      </c>
      <c r="D68" s="19"/>
      <c r="E68" s="97">
        <f t="shared" si="17"/>
        <v>0.56817894061639596</v>
      </c>
      <c r="F68" s="10"/>
      <c r="G68" s="97">
        <f t="shared" si="15"/>
        <v>0.4053877898357286</v>
      </c>
      <c r="H68" s="36"/>
      <c r="I68" s="97">
        <f t="shared" si="16"/>
        <v>2.643326954787514E-2</v>
      </c>
      <c r="J68" s="36"/>
      <c r="K68" s="104">
        <f t="shared" si="18"/>
        <v>14506.483360588196</v>
      </c>
      <c r="L68" s="18"/>
    </row>
    <row r="69" spans="2:16" ht="15" customHeight="1" x14ac:dyDescent="0.2">
      <c r="B69" s="2"/>
      <c r="C69" s="8"/>
      <c r="D69" s="80"/>
      <c r="E69" s="8"/>
      <c r="F69" s="81"/>
      <c r="G69" s="30"/>
      <c r="I69" s="8"/>
      <c r="K69" s="84"/>
      <c r="M69" s="84"/>
      <c r="N69" s="6"/>
      <c r="P69" s="6"/>
    </row>
    <row r="70" spans="2:16" x14ac:dyDescent="0.2">
      <c r="C70" s="168"/>
      <c r="D70" s="168"/>
      <c r="E70" s="168"/>
      <c r="F70" s="168"/>
      <c r="G70" s="168"/>
    </row>
  </sheetData>
  <sheetProtection algorithmName="SHA-512" hashValue="SJ57QdofbBtMIvsKEq8RkUURbQ5veDPBJIIDTxeDhtooaqWalOEihIqR6QmPFv6M7Bq3Qgs7VH8cv6uk6CJOlw==" saltValue="1e4C3163r0GgJ4giyqHgrQ==" spinCount="100000" sheet="1" objects="1" scenarios="1"/>
  <mergeCells count="8">
    <mergeCell ref="D41:D53"/>
    <mergeCell ref="F41:F53"/>
    <mergeCell ref="H41:H53"/>
    <mergeCell ref="B2:M2"/>
    <mergeCell ref="B19:M19"/>
    <mergeCell ref="B38:Q38"/>
    <mergeCell ref="D22:D34"/>
    <mergeCell ref="F22:F34"/>
  </mergeCells>
  <phoneticPr fontId="22" type="noConversion"/>
  <conditionalFormatting sqref="C70:G70">
    <cfRule type="cellIs" dxfId="0" priority="3" operator="lessThan">
      <formula>0</formula>
    </cfRule>
  </conditionalFormatting>
  <conditionalFormatting sqref="K5:K17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705E-75A5-C047-BE60-BB7961B3B597}">
  <sheetPr>
    <tabColor theme="9"/>
  </sheetPr>
  <dimension ref="A1:Z21"/>
  <sheetViews>
    <sheetView zoomScale="150" zoomScaleNormal="150" workbookViewId="0">
      <pane xSplit="2" topLeftCell="U1" activePane="topRight" state="frozen"/>
      <selection pane="topRight" activeCell="Y18" sqref="Y18"/>
    </sheetView>
  </sheetViews>
  <sheetFormatPr baseColWidth="10" defaultRowHeight="15" x14ac:dyDescent="0.2"/>
  <cols>
    <col min="1" max="1" width="4.5" customWidth="1"/>
    <col min="2" max="2" width="34.33203125" bestFit="1" customWidth="1"/>
    <col min="3" max="3" width="12.5" customWidth="1"/>
    <col min="4" max="4" width="3.83203125" customWidth="1"/>
    <col min="5" max="5" width="14.83203125" customWidth="1"/>
    <col min="6" max="6" width="3.83203125" customWidth="1"/>
    <col min="7" max="7" width="13.33203125" customWidth="1"/>
    <col min="8" max="8" width="14.83203125" customWidth="1"/>
    <col min="9" max="9" width="13.33203125" customWidth="1"/>
    <col min="10" max="11" width="14.83203125" customWidth="1"/>
    <col min="12" max="12" width="3.6640625" customWidth="1"/>
    <col min="13" max="15" width="13.5" customWidth="1"/>
    <col min="16" max="16" width="3.6640625" customWidth="1"/>
    <col min="17" max="18" width="17.5" customWidth="1"/>
    <col min="19" max="19" width="3.83203125" customWidth="1"/>
    <col min="20" max="23" width="19" customWidth="1"/>
    <col min="24" max="24" width="5.83203125" customWidth="1"/>
    <col min="25" max="25" width="15" customWidth="1"/>
    <col min="26" max="26" width="4.1640625" customWidth="1"/>
  </cols>
  <sheetData>
    <row r="1" spans="1:26" x14ac:dyDescent="0.2">
      <c r="B1" s="4"/>
      <c r="C1" s="8"/>
    </row>
    <row r="2" spans="1:26" ht="15" customHeight="1" x14ac:dyDescent="0.2"/>
    <row r="3" spans="1:26" ht="32" customHeight="1" x14ac:dyDescent="0.2">
      <c r="G3" s="181" t="s">
        <v>14</v>
      </c>
      <c r="H3" s="181"/>
      <c r="I3" s="181"/>
      <c r="J3" s="181"/>
      <c r="K3" s="181"/>
    </row>
    <row r="4" spans="1:26" s="11" customFormat="1" ht="34" customHeight="1" x14ac:dyDescent="0.2">
      <c r="A4" s="24"/>
      <c r="B4" s="68"/>
      <c r="C4" s="181" t="s">
        <v>47</v>
      </c>
      <c r="D4" s="16"/>
      <c r="E4" s="41" t="s">
        <v>46</v>
      </c>
      <c r="F4" s="16"/>
      <c r="G4" s="41" t="s">
        <v>62</v>
      </c>
      <c r="H4" s="182" t="s">
        <v>44</v>
      </c>
      <c r="I4" s="182" t="s">
        <v>87</v>
      </c>
      <c r="J4" s="41" t="s">
        <v>63</v>
      </c>
      <c r="K4" s="41" t="s">
        <v>127</v>
      </c>
      <c r="M4" s="181" t="s">
        <v>15</v>
      </c>
      <c r="N4" s="181"/>
      <c r="O4" s="181"/>
      <c r="Q4" s="181" t="s">
        <v>35</v>
      </c>
      <c r="R4" s="181"/>
      <c r="T4" s="181" t="s">
        <v>37</v>
      </c>
      <c r="U4" s="181"/>
      <c r="V4" s="181"/>
      <c r="W4" s="181"/>
      <c r="Y4" s="181" t="s">
        <v>36</v>
      </c>
    </row>
    <row r="5" spans="1:26" s="11" customFormat="1" ht="32" customHeight="1" x14ac:dyDescent="0.2">
      <c r="A5" s="17"/>
      <c r="B5" s="23" t="s">
        <v>13</v>
      </c>
      <c r="C5" s="182"/>
      <c r="D5" s="13"/>
      <c r="E5" s="43">
        <f>'Model Costs and Assumptions'!C4</f>
        <v>3332.78</v>
      </c>
      <c r="F5" s="13"/>
      <c r="G5" s="43">
        <f>'Model Costs and Assumptions'!C5</f>
        <v>10705.860274734934</v>
      </c>
      <c r="H5" s="182"/>
      <c r="I5" s="182"/>
      <c r="J5" s="73">
        <f>'Model Costs and Assumptions'!D21</f>
        <v>0.2</v>
      </c>
      <c r="K5" s="73">
        <f>'Model Costs and Assumptions'!D22</f>
        <v>1</v>
      </c>
      <c r="M5" s="98" t="s">
        <v>59</v>
      </c>
      <c r="N5" s="43">
        <f>'Model Costs and Assumptions'!C6</f>
        <v>800</v>
      </c>
      <c r="O5" s="43" t="s">
        <v>117</v>
      </c>
      <c r="Q5" s="43">
        <f>'Model Costs and Assumptions'!C7</f>
        <v>1941.27</v>
      </c>
      <c r="R5" s="43" t="s">
        <v>65</v>
      </c>
      <c r="T5" s="43" t="s">
        <v>67</v>
      </c>
      <c r="U5" s="43" t="s">
        <v>68</v>
      </c>
      <c r="V5" s="43" t="str">
        <f>CONCATENATE("$",ROUND('Model Costs and Assumptions'!$C$8,0)," - $",ROUND('Model Costs and Assumptions'!$C$8+'Model Costs and Assumptions'!$D$29,0))</f>
        <v>$5 - $7</v>
      </c>
      <c r="W5" s="43" t="str">
        <f>CONCATENATE("Minor Remodeling ($",ROUND('Model Costs and Assumptions'!$C$9,1),")")</f>
        <v>Minor Remodeling ($2.7)</v>
      </c>
      <c r="Y5" s="182"/>
    </row>
    <row r="6" spans="1:26" x14ac:dyDescent="0.2">
      <c r="A6" s="17"/>
      <c r="B6" s="1" t="s">
        <v>1</v>
      </c>
      <c r="C6" s="44">
        <f>VLOOKUP($B6,'School Data'!$B$2:$V$15,4,FALSE)</f>
        <v>2365.6666666666665</v>
      </c>
      <c r="D6" s="5"/>
      <c r="E6" s="6">
        <f>C6*$E$5</f>
        <v>7884246.5533333337</v>
      </c>
      <c r="F6" s="6"/>
      <c r="G6" s="6">
        <f>$G$5*C6</f>
        <v>25326496.789931275</v>
      </c>
      <c r="H6" s="56">
        <f>VLOOKUP($B6,'School Data'!$B$2:$V$15,5,FALSE)</f>
        <v>5.3903088096690137E-2</v>
      </c>
      <c r="I6" s="56">
        <f>'School Data'!G3</f>
        <v>0.10276679841897234</v>
      </c>
      <c r="J6" s="6">
        <f t="shared" ref="J6:J17" si="0">C6*H6*(G$5*J$5)</f>
        <v>273035.27752964111</v>
      </c>
      <c r="K6" s="6">
        <f t="shared" ref="K6:K17" si="1">C6*I6*(G$5*(K$5))</f>
        <v>2602722.9902696172</v>
      </c>
      <c r="M6" t="str">
        <f>VLOOKUP($B6,'School Data'!$B$2:$V$15,7,FALSE)</f>
        <v>Masters</v>
      </c>
      <c r="N6" s="6">
        <f t="shared" ref="N6:N17" si="2">C6*$N$5</f>
        <v>1892533.3333333333</v>
      </c>
      <c r="O6" s="6">
        <f>IF(OR(M6="R2",M6="R3"),C6*'Model Costs and Assumptions'!$D$26,IF(M6="R1",C6*'Model Costs and Assumptions'!$D$27,0))</f>
        <v>0</v>
      </c>
      <c r="Q6" s="6">
        <f t="shared" ref="Q6:Q17" si="3">C6*$Q$5</f>
        <v>4592397.7299999995</v>
      </c>
      <c r="R6" s="6">
        <f>'School Size Adjustment'!E2</f>
        <v>1822137.1283264251</v>
      </c>
      <c r="T6" s="46">
        <f>VLOOKUP($B6,'School Data'!$B$2:$V$15,8,FALSE)</f>
        <v>1070837.6666666667</v>
      </c>
      <c r="U6" s="46">
        <f>VLOOKUP($B6,'School Data'!$B$2:$V$15,9,FALSE)</f>
        <v>187839.25</v>
      </c>
      <c r="V6" s="6">
        <f>T6*'Model Costs and Assumptions'!$C$8+('Model Costs and Assumptions'!$C$8+'Model Costs and Assumptions'!$D$29)*U6</f>
        <v>6733698.2583333338</v>
      </c>
      <c r="W6" s="6">
        <f>(T6+U6)*'Model Costs and Assumptions'!$C$9</f>
        <v>3348080.5983333336</v>
      </c>
      <c r="X6" s="6"/>
      <c r="Y6" s="14">
        <f>W6+Q6+O6+N6+G6+J6+E6+K6+R6+V6</f>
        <v>54475348.659390293</v>
      </c>
      <c r="Z6" s="6"/>
    </row>
    <row r="7" spans="1:26" x14ac:dyDescent="0.2">
      <c r="A7" s="17"/>
      <c r="B7" s="1" t="s">
        <v>2</v>
      </c>
      <c r="C7" s="44">
        <f>VLOOKUP($B7,'School Data'!$B$2:$V$15,4,FALSE)</f>
        <v>6339.3333333333339</v>
      </c>
      <c r="D7" s="5"/>
      <c r="E7" s="6">
        <f t="shared" ref="E7:E16" si="4">C7*$E$5</f>
        <v>21127603.346666671</v>
      </c>
      <c r="F7" s="6"/>
      <c r="G7" s="6">
        <f t="shared" ref="G7:G17" si="5">$G$5*C7</f>
        <v>67868016.901636332</v>
      </c>
      <c r="H7" s="56">
        <f>VLOOKUP($B7,'School Data'!$B$2:$V$15,5,FALSE)</f>
        <v>0.11843978114104389</v>
      </c>
      <c r="I7" s="56">
        <f>'School Data'!G4</f>
        <v>0</v>
      </c>
      <c r="J7" s="6">
        <f t="shared" si="0"/>
        <v>1607654.6136612953</v>
      </c>
      <c r="K7" s="6">
        <f t="shared" si="1"/>
        <v>0</v>
      </c>
      <c r="M7" t="str">
        <f>VLOOKUP($B7,'School Data'!$B$2:$V$15,7,FALSE)</f>
        <v>Masters</v>
      </c>
      <c r="N7" s="6">
        <f t="shared" si="2"/>
        <v>5071466.666666667</v>
      </c>
      <c r="O7" s="6">
        <f>IF(OR(M7="R2",M7="R3"),C7*'Model Costs and Assumptions'!$D$26,IF(M7="R1",C7*'Model Costs and Assumptions'!$D$27,0))</f>
        <v>0</v>
      </c>
      <c r="Q7" s="6">
        <f t="shared" si="3"/>
        <v>12306357.620000001</v>
      </c>
      <c r="R7" s="6">
        <f>'School Size Adjustment'!E3</f>
        <v>3782543.6098713009</v>
      </c>
      <c r="T7" s="46">
        <f>VLOOKUP($B7,'School Data'!$B$2:$V$15,8,FALSE)</f>
        <v>1429371.96</v>
      </c>
      <c r="U7" s="46">
        <f>VLOOKUP($B7,'School Data'!$B$2:$V$15,9,FALSE)</f>
        <v>245773.04</v>
      </c>
      <c r="V7" s="6">
        <f>T7*'Model Costs and Assumptions'!$C$8+('Model Costs and Assumptions'!$C$8+'Model Costs and Assumptions'!$D$29)*U7</f>
        <v>8955232.8816</v>
      </c>
      <c r="W7" s="6">
        <f>(T7+U7)*'Model Costs and Assumptions'!$C$9</f>
        <v>4455885.7</v>
      </c>
      <c r="X7" s="6"/>
      <c r="Y7" s="14">
        <f t="shared" ref="Y7:Y16" si="6">W7+Q7+O7+N7+G7+J7+E7+K7+R7+V7</f>
        <v>125174761.34010226</v>
      </c>
      <c r="Z7" s="6"/>
    </row>
    <row r="8" spans="1:26" x14ac:dyDescent="0.2">
      <c r="A8" s="17"/>
      <c r="B8" s="58" t="s">
        <v>3</v>
      </c>
      <c r="C8" s="44">
        <f>VLOOKUP($B8,'School Data'!$B$2:$V$15,4,FALSE)</f>
        <v>4418.333333333333</v>
      </c>
      <c r="D8" s="5"/>
      <c r="E8" s="6">
        <f t="shared" si="4"/>
        <v>14725332.966666667</v>
      </c>
      <c r="F8" s="6"/>
      <c r="G8" s="6">
        <f t="shared" si="5"/>
        <v>47302059.313870512</v>
      </c>
      <c r="H8" s="56">
        <f>VLOOKUP($B8,'School Data'!$B$2:$V$15,5,FALSE)</f>
        <v>9.0693488013258286E-2</v>
      </c>
      <c r="I8" s="56">
        <f>'School Data'!G5</f>
        <v>1.6129032258064516E-3</v>
      </c>
      <c r="J8" s="6">
        <f t="shared" si="0"/>
        <v>857997.74987698952</v>
      </c>
      <c r="K8" s="6">
        <f t="shared" si="1"/>
        <v>76293.644054629869</v>
      </c>
      <c r="M8" t="str">
        <f>VLOOKUP($B8,'School Data'!$B$2:$V$15,7,FALSE)</f>
        <v>Masters</v>
      </c>
      <c r="N8" s="6">
        <f t="shared" si="2"/>
        <v>3534666.6666666665</v>
      </c>
      <c r="O8" s="6">
        <f>IF(OR(M8="R2",M8="R3"),C8*'Model Costs and Assumptions'!$D$26,IF(M8="R1",C8*'Model Costs and Assumptions'!$D$27,0))</f>
        <v>0</v>
      </c>
      <c r="Q8" s="6">
        <f t="shared" si="3"/>
        <v>8577177.9499999993</v>
      </c>
      <c r="R8" s="6">
        <f>'School Size Adjustment'!E4</f>
        <v>3007051.3745456245</v>
      </c>
      <c r="T8" s="46">
        <f>VLOOKUP($B8,'School Data'!$B$2:$V$15,8,FALSE)</f>
        <v>578484.00008999999</v>
      </c>
      <c r="U8" s="46">
        <f>VLOOKUP($B8,'School Data'!$B$2:$V$15,9,FALSE)</f>
        <v>143924.76</v>
      </c>
      <c r="V8" s="6">
        <f>T8*'Model Costs and Assumptions'!$C$8+('Model Costs and Assumptions'!$C$8+'Model Costs and Assumptions'!$D$29)*U8</f>
        <v>3920376.9820607998</v>
      </c>
      <c r="W8" s="6">
        <f>(T8+U8)*'Model Costs and Assumptions'!$C$9</f>
        <v>1921607.3018394001</v>
      </c>
      <c r="X8" s="6"/>
      <c r="Y8" s="14">
        <f t="shared" si="6"/>
        <v>83922563.949581295</v>
      </c>
      <c r="Z8" s="6"/>
    </row>
    <row r="9" spans="1:26" x14ac:dyDescent="0.2">
      <c r="A9" s="17"/>
      <c r="B9" s="58" t="s">
        <v>4</v>
      </c>
      <c r="C9" s="44">
        <f>VLOOKUP($B9,'School Data'!$B$2:$V$15,4,FALSE)</f>
        <v>20425.333333333336</v>
      </c>
      <c r="D9" s="5"/>
      <c r="E9" s="6">
        <f t="shared" si="4"/>
        <v>68073142.426666677</v>
      </c>
      <c r="F9" s="6"/>
      <c r="G9" s="6">
        <f t="shared" si="5"/>
        <v>218670764.73155263</v>
      </c>
      <c r="H9" s="56">
        <f>VLOOKUP($B9,'School Data'!$B$2:$V$15,5,FALSE)</f>
        <v>0.19254976713889169</v>
      </c>
      <c r="I9" s="56">
        <f>'School Data'!G6</f>
        <v>1.1335726431135461E-3</v>
      </c>
      <c r="J9" s="6">
        <f t="shared" si="0"/>
        <v>8421000.965828767</v>
      </c>
      <c r="K9" s="6">
        <f t="shared" si="1"/>
        <v>247879.19674840654</v>
      </c>
      <c r="M9" t="str">
        <f>VLOOKUP($B9,'School Data'!$B$2:$V$15,7,FALSE)</f>
        <v>R2</v>
      </c>
      <c r="N9" s="6">
        <f t="shared" si="2"/>
        <v>16340266.666666668</v>
      </c>
      <c r="O9" s="6">
        <f>IF(OR(M9="R2",M9="R3"),C9*'Model Costs and Assumptions'!$D$26,IF(M9="R1",C9*'Model Costs and Assumptions'!$D$27,0))</f>
        <v>12255200.000000002</v>
      </c>
      <c r="Q9" s="6">
        <f t="shared" si="3"/>
        <v>39651086.840000004</v>
      </c>
      <c r="R9" s="6">
        <f>'School Size Adjustment'!E5</f>
        <v>0</v>
      </c>
      <c r="T9" s="46">
        <f>VLOOKUP($B9,'School Data'!$B$2:$V$15,8,FALSE)</f>
        <v>2733804.7233333336</v>
      </c>
      <c r="U9" s="46">
        <f>VLOOKUP($B9,'School Data'!$B$2:$V$15,9,FALSE)</f>
        <v>678582.61</v>
      </c>
      <c r="V9" s="6">
        <f>T9*'Model Costs and Assumptions'!$C$8+('Model Costs and Assumptions'!$C$8+'Model Costs and Assumptions'!$D$29)*U9</f>
        <v>18516440.366066668</v>
      </c>
      <c r="W9" s="6">
        <f>(T9+U9)*'Model Costs and Assumptions'!$C$9</f>
        <v>9076950.3066666666</v>
      </c>
      <c r="X9" s="6"/>
      <c r="Y9" s="14">
        <f t="shared" si="6"/>
        <v>391252731.50019658</v>
      </c>
      <c r="Z9" s="6"/>
    </row>
    <row r="10" spans="1:26" x14ac:dyDescent="0.2">
      <c r="A10" s="17"/>
      <c r="B10" s="58" t="s">
        <v>5</v>
      </c>
      <c r="C10" s="44">
        <f>VLOOKUP($B10,'School Data'!$B$2:$V$15,4,FALSE)</f>
        <v>5983</v>
      </c>
      <c r="D10" s="5"/>
      <c r="E10" s="6">
        <f t="shared" si="4"/>
        <v>19940022.740000002</v>
      </c>
      <c r="F10" s="6"/>
      <c r="G10" s="6">
        <f t="shared" si="5"/>
        <v>64053162.023739114</v>
      </c>
      <c r="H10" s="56">
        <f>VLOOKUP($B10,'School Data'!$B$2:$V$15,5,FALSE)</f>
        <v>0.1220752984389348</v>
      </c>
      <c r="I10" s="56">
        <f>'School Data'!G7</f>
        <v>0</v>
      </c>
      <c r="J10" s="6">
        <f t="shared" si="0"/>
        <v>1563861.7740010794</v>
      </c>
      <c r="K10" s="6">
        <f t="shared" si="1"/>
        <v>0</v>
      </c>
      <c r="M10" t="str">
        <f>VLOOKUP($B10,'School Data'!$B$2:$V$15,7,FALSE)</f>
        <v>Masters</v>
      </c>
      <c r="N10" s="6">
        <f t="shared" si="2"/>
        <v>4786400</v>
      </c>
      <c r="O10" s="6">
        <f>IF(OR(M10="R2",M10="R3"),C10*'Model Costs and Assumptions'!$D$26,IF(M10="R1",C10*'Model Costs and Assumptions'!$D$27,0))</f>
        <v>0</v>
      </c>
      <c r="Q10" s="6">
        <f t="shared" si="3"/>
        <v>11614618.41</v>
      </c>
      <c r="R10" s="6">
        <f>'School Size Adjustment'!E6</f>
        <v>3663047.3906918252</v>
      </c>
      <c r="T10" s="46">
        <f>VLOOKUP($B10,'School Data'!$B$2:$V$15,8,FALSE)</f>
        <v>1233938.8500000001</v>
      </c>
      <c r="U10" s="46">
        <f>VLOOKUP($B10,'School Data'!$B$2:$V$15,9,FALSE)</f>
        <v>162137.54999999999</v>
      </c>
      <c r="V10" s="6">
        <f>T10*'Model Costs and Assumptions'!$C$8+('Model Costs and Assumptions'!$C$8+'Model Costs and Assumptions'!$D$29)*U10</f>
        <v>7397602.9950000001</v>
      </c>
      <c r="W10" s="6">
        <f>(T10+U10)*'Model Costs and Assumptions'!$C$9</f>
        <v>3713563.2240000004</v>
      </c>
      <c r="X10" s="6"/>
      <c r="Y10" s="14">
        <f t="shared" si="6"/>
        <v>116732278.55743204</v>
      </c>
      <c r="Z10" s="6"/>
    </row>
    <row r="11" spans="1:26" x14ac:dyDescent="0.2">
      <c r="A11" s="17"/>
      <c r="B11" s="58" t="s">
        <v>6</v>
      </c>
      <c r="C11" s="44">
        <f>VLOOKUP($B11,'School Data'!$B$2:$V$15,4,FALSE)</f>
        <v>15856</v>
      </c>
      <c r="D11" s="5"/>
      <c r="E11" s="6">
        <f t="shared" si="4"/>
        <v>52844559.68</v>
      </c>
      <c r="F11" s="6"/>
      <c r="G11" s="6">
        <f t="shared" si="5"/>
        <v>169752120.51619712</v>
      </c>
      <c r="H11" s="56">
        <f>VLOOKUP($B11,'School Data'!$B$2:$V$15,5,FALSE)</f>
        <v>0.19206786172995061</v>
      </c>
      <c r="I11" s="56">
        <f>'School Data'!G8</f>
        <v>7.9042457091237587E-3</v>
      </c>
      <c r="J11" s="6">
        <f t="shared" si="0"/>
        <v>6520785.3623341722</v>
      </c>
      <c r="K11" s="6">
        <f t="shared" si="1"/>
        <v>1341762.4702048104</v>
      </c>
      <c r="M11" t="str">
        <f>VLOOKUP($B11,'School Data'!$B$2:$V$15,7,FALSE)</f>
        <v>R2</v>
      </c>
      <c r="N11" s="6">
        <f t="shared" si="2"/>
        <v>12684800</v>
      </c>
      <c r="O11" s="6">
        <f>IF(OR(M11="R2",M11="R3"),C11*'Model Costs and Assumptions'!$D$26,IF(M11="R1",C11*'Model Costs and Assumptions'!$D$27,0))</f>
        <v>9513600</v>
      </c>
      <c r="P11" s="18"/>
      <c r="Q11" s="6">
        <f t="shared" si="3"/>
        <v>30780777.120000001</v>
      </c>
      <c r="R11" s="6">
        <f>'School Size Adjustment'!E7</f>
        <v>2869999.6586688007</v>
      </c>
      <c r="T11" s="46">
        <f>VLOOKUP($B11,'School Data'!$B$2:$V$15,8,FALSE)</f>
        <v>3568426.69</v>
      </c>
      <c r="U11" s="46">
        <f>VLOOKUP($B11,'School Data'!$B$2:$V$15,9,FALSE)</f>
        <v>831092.30999999994</v>
      </c>
      <c r="V11" s="6">
        <f>T11*'Model Costs and Assumptions'!$C$8+('Model Costs and Assumptions'!$C$8+'Model Costs and Assumptions'!$D$29)*U11</f>
        <v>23805419.437400002</v>
      </c>
      <c r="W11" s="6">
        <f>(T11+U11)*'Model Costs and Assumptions'!$C$9</f>
        <v>11702720.540000001</v>
      </c>
      <c r="X11" s="6"/>
      <c r="Y11" s="14">
        <f t="shared" si="6"/>
        <v>321816544.78480488</v>
      </c>
      <c r="Z11" s="6"/>
    </row>
    <row r="12" spans="1:26" x14ac:dyDescent="0.2">
      <c r="A12" s="17"/>
      <c r="B12" s="58" t="s">
        <v>7</v>
      </c>
      <c r="C12" s="44">
        <f>VLOOKUP($B12,'School Data'!$B$2:$V$15,4,FALSE)</f>
        <v>11101</v>
      </c>
      <c r="D12" s="5"/>
      <c r="E12" s="6">
        <f t="shared" si="4"/>
        <v>36997190.780000001</v>
      </c>
      <c r="F12" s="6"/>
      <c r="G12" s="6">
        <f t="shared" si="5"/>
        <v>118845754.90983251</v>
      </c>
      <c r="H12" s="56">
        <f>VLOOKUP($B12,'School Data'!$B$2:$V$15,5,FALSE)</f>
        <v>0.17115730709670357</v>
      </c>
      <c r="I12" s="56">
        <f>'School Data'!G9</f>
        <v>2.0282186948853614E-2</v>
      </c>
      <c r="J12" s="6">
        <f t="shared" si="0"/>
        <v>4068263.8740483536</v>
      </c>
      <c r="K12" s="6">
        <f t="shared" si="1"/>
        <v>2410451.81915886</v>
      </c>
      <c r="M12" t="str">
        <f>VLOOKUP($B12,'School Data'!$B$2:$V$15,7,FALSE)</f>
        <v>R2</v>
      </c>
      <c r="N12" s="6">
        <f t="shared" si="2"/>
        <v>8880800</v>
      </c>
      <c r="O12" s="6">
        <f>IF(OR(M12="R2",M12="R3"),C12*'Model Costs and Assumptions'!$D$26,IF(M12="R1",C12*'Model Costs and Assumptions'!$D$27,0))</f>
        <v>6660600</v>
      </c>
      <c r="Q12" s="6">
        <f t="shared" si="3"/>
        <v>21550038.27</v>
      </c>
      <c r="R12" s="6">
        <f>'School Size Adjustment'!E8</f>
        <v>4314910.2877064245</v>
      </c>
      <c r="T12" s="46">
        <f>VLOOKUP($B12,'School Data'!$B$2:$V$15,8,FALSE)</f>
        <v>3676695.666666667</v>
      </c>
      <c r="U12" s="46">
        <f>VLOOKUP($B12,'School Data'!$B$2:$V$15,9,FALSE)</f>
        <v>1602392.3333333333</v>
      </c>
      <c r="V12" s="6">
        <f>T12*'Model Costs and Assumptions'!$C$8+('Model Costs and Assumptions'!$C$8+'Model Costs and Assumptions'!$D$29)*U12</f>
        <v>29496614.753333338</v>
      </c>
      <c r="W12" s="6">
        <f>(T12+U12)*'Model Costs and Assumptions'!$C$9</f>
        <v>14042374.08</v>
      </c>
      <c r="X12" s="6"/>
      <c r="Y12" s="14">
        <f t="shared" si="6"/>
        <v>247266998.77407947</v>
      </c>
      <c r="Z12" s="6"/>
    </row>
    <row r="13" spans="1:26" x14ac:dyDescent="0.2">
      <c r="A13" s="17"/>
      <c r="B13" s="58" t="s">
        <v>8</v>
      </c>
      <c r="C13" s="44">
        <f>VLOOKUP($B13,'School Data'!$B$2:$V$15,4,FALSE)</f>
        <v>12660</v>
      </c>
      <c r="D13" s="5"/>
      <c r="E13" s="6">
        <f t="shared" si="4"/>
        <v>42192994.800000004</v>
      </c>
      <c r="F13" s="6"/>
      <c r="G13" s="6">
        <f t="shared" si="5"/>
        <v>135536191.07814425</v>
      </c>
      <c r="H13" s="56">
        <f>VLOOKUP($B13,'School Data'!$B$2:$V$15,5,FALSE)</f>
        <v>0.22119045005805524</v>
      </c>
      <c r="I13" s="56">
        <f>'School Data'!G10</f>
        <v>4.2271293375394321E-2</v>
      </c>
      <c r="J13" s="6">
        <f t="shared" si="0"/>
        <v>5995862.2207458606</v>
      </c>
      <c r="K13" s="6">
        <f t="shared" si="1"/>
        <v>5729290.0960477386</v>
      </c>
      <c r="M13" t="str">
        <f>VLOOKUP($B13,'School Data'!$B$2:$V$15,7,FALSE)</f>
        <v>R3</v>
      </c>
      <c r="N13" s="6">
        <f t="shared" si="2"/>
        <v>10128000</v>
      </c>
      <c r="O13" s="6">
        <f>IF(OR(M13="R2",M13="R3"),C13*'Model Costs and Assumptions'!$D$26,IF(M13="R1",C13*'Model Costs and Assumptions'!$D$27,0))</f>
        <v>7596000</v>
      </c>
      <c r="Q13" s="6">
        <f t="shared" si="3"/>
        <v>24576478.199999999</v>
      </c>
      <c r="R13" s="6">
        <f>'School Size Adjustment'!E9</f>
        <v>4058805.3747299998</v>
      </c>
      <c r="T13" s="46">
        <f>VLOOKUP($B13,'School Data'!$B$2:$V$15,8,FALSE)</f>
        <v>2952325.0066666668</v>
      </c>
      <c r="U13" s="46">
        <f>VLOOKUP($B13,'School Data'!$B$2:$V$15,9,FALSE)</f>
        <v>473873.99333333335</v>
      </c>
      <c r="V13" s="6">
        <f>T13*'Model Costs and Assumptions'!$C$8+('Model Costs and Assumptions'!$C$8+'Model Costs and Assumptions'!$D$29)*U13</f>
        <v>18271904.829733334</v>
      </c>
      <c r="W13" s="6">
        <f>(T13+U13)*'Model Costs and Assumptions'!$C$9</f>
        <v>9113689.3399999999</v>
      </c>
      <c r="X13" s="6"/>
      <c r="Y13" s="14">
        <f t="shared" si="6"/>
        <v>263199215.93940118</v>
      </c>
      <c r="Z13" s="6"/>
    </row>
    <row r="14" spans="1:26" x14ac:dyDescent="0.2">
      <c r="A14" s="17"/>
      <c r="B14" s="58" t="s">
        <v>9</v>
      </c>
      <c r="C14" s="44">
        <f>VLOOKUP($B14,'School Data'!$B$2:$V$15,4,FALSE)</f>
        <v>33026</v>
      </c>
      <c r="D14" s="5"/>
      <c r="E14" s="6">
        <f t="shared" si="4"/>
        <v>110068392.28</v>
      </c>
      <c r="F14" s="6"/>
      <c r="G14" s="6">
        <f t="shared" si="5"/>
        <v>353571741.43339592</v>
      </c>
      <c r="H14" s="56">
        <f>VLOOKUP($B14,'School Data'!$B$2:$V$15,5,FALSE)</f>
        <v>0.22653149751779317</v>
      </c>
      <c r="I14" s="56">
        <f>'School Data'!G11</f>
        <v>9.2964244521337946E-2</v>
      </c>
      <c r="J14" s="6">
        <f t="shared" si="0"/>
        <v>16019027.21337623</v>
      </c>
      <c r="K14" s="6">
        <f t="shared" si="1"/>
        <v>32869529.826449495</v>
      </c>
      <c r="M14" t="str">
        <f>VLOOKUP($B14,'School Data'!$B$2:$V$15,7,FALSE)</f>
        <v>R1</v>
      </c>
      <c r="N14" s="6">
        <f t="shared" si="2"/>
        <v>26420800</v>
      </c>
      <c r="O14" s="6">
        <f>IF(OR(M14="R2",M14="R3"),C14*'Model Costs and Assumptions'!$D$26,IF(M14="R1",C14*'Model Costs and Assumptions'!$D$27,0))</f>
        <v>39631200</v>
      </c>
      <c r="Q14" s="6">
        <f t="shared" si="3"/>
        <v>64112383.019999996</v>
      </c>
      <c r="R14" s="6">
        <f>'School Size Adjustment'!E10</f>
        <v>0</v>
      </c>
      <c r="T14" s="46">
        <f>VLOOKUP($B14,'School Data'!$B$2:$V$15,8,FALSE)</f>
        <v>7777922.8967000004</v>
      </c>
      <c r="U14" s="46">
        <f>VLOOKUP($B14,'School Data'!$B$2:$V$15,9,FALSE)</f>
        <v>2121454.7566333334</v>
      </c>
      <c r="V14" s="6">
        <f>T14*'Model Costs and Assumptions'!$C$8+('Model Costs and Assumptions'!$C$8+'Model Costs and Assumptions'!$D$29)*U14</f>
        <v>53951853.910282001</v>
      </c>
      <c r="W14" s="6">
        <f>(T14+U14)*'Model Costs and Assumptions'!$C$9</f>
        <v>26332344.55786667</v>
      </c>
      <c r="X14" s="6"/>
      <c r="Y14" s="14">
        <f t="shared" si="6"/>
        <v>722977272.24137032</v>
      </c>
      <c r="Z14" s="6"/>
    </row>
    <row r="15" spans="1:26" x14ac:dyDescent="0.2">
      <c r="A15" s="17"/>
      <c r="B15" s="1" t="s">
        <v>10</v>
      </c>
      <c r="C15" s="44">
        <f>VLOOKUP($B15,'School Data'!$B$2:$V$15,4,FALSE)</f>
        <v>3936.666666666667</v>
      </c>
      <c r="D15" s="5"/>
      <c r="E15" s="6">
        <f t="shared" si="4"/>
        <v>13120043.933333335</v>
      </c>
      <c r="F15" s="6"/>
      <c r="G15" s="6">
        <f t="shared" si="5"/>
        <v>42145403.281539857</v>
      </c>
      <c r="H15" s="56">
        <f>VLOOKUP($B15,'School Data'!$B$2:$V$15,5,FALSE)</f>
        <v>6.0213872712577457E-2</v>
      </c>
      <c r="I15" s="56">
        <f>'School Data'!G12</f>
        <v>0</v>
      </c>
      <c r="J15" s="6">
        <f t="shared" si="0"/>
        <v>507547.58972297708</v>
      </c>
      <c r="K15" s="6">
        <f t="shared" si="1"/>
        <v>0</v>
      </c>
      <c r="M15" t="str">
        <f>VLOOKUP($B15,'School Data'!$B$2:$V$15,7,FALSE)</f>
        <v>Masters</v>
      </c>
      <c r="N15" s="6">
        <f t="shared" si="2"/>
        <v>3149333.3333333335</v>
      </c>
      <c r="O15" s="6">
        <f>IF(OR(M15="R2",M15="R3"),C15*'Model Costs and Assumptions'!$D$26,IF(M15="R1",C15*'Model Costs and Assumptions'!$D$27,0))</f>
        <v>0</v>
      </c>
      <c r="Q15" s="6">
        <f t="shared" si="3"/>
        <v>7642132.9000000004</v>
      </c>
      <c r="R15" s="6">
        <f>'School Size Adjustment'!E11</f>
        <v>2762057.8833825001</v>
      </c>
      <c r="T15" s="46">
        <f>VLOOKUP($B15,'School Data'!$B$2:$V$15,8,FALSE)</f>
        <v>867451.32000000007</v>
      </c>
      <c r="U15" s="46">
        <f>VLOOKUP($B15,'School Data'!$B$2:$V$15,9,FALSE)</f>
        <v>107868.67999999998</v>
      </c>
      <c r="V15" s="6">
        <f>T15*'Model Costs and Assumptions'!$C$8+('Model Costs and Assumptions'!$C$8+'Model Costs and Assumptions'!$D$29)*U15</f>
        <v>5159756.167200001</v>
      </c>
      <c r="W15" s="6">
        <f>(T15+U15)*'Model Costs and Assumptions'!$C$9</f>
        <v>2594351.2000000002</v>
      </c>
      <c r="X15" s="6"/>
      <c r="Y15" s="14">
        <f t="shared" si="6"/>
        <v>77080626.288512006</v>
      </c>
      <c r="Z15" s="6"/>
    </row>
    <row r="16" spans="1:26" x14ac:dyDescent="0.2">
      <c r="A16" s="17"/>
      <c r="B16" s="1" t="s">
        <v>11</v>
      </c>
      <c r="C16" s="44">
        <f>VLOOKUP($B16,'School Data'!$B$2:$V$15,4,FALSE)</f>
        <v>53639.666666666672</v>
      </c>
      <c r="D16" s="5"/>
      <c r="E16" s="6">
        <f t="shared" si="4"/>
        <v>178769208.27333337</v>
      </c>
      <c r="F16" s="6"/>
      <c r="G16" s="6">
        <f t="shared" si="5"/>
        <v>574258776.51669037</v>
      </c>
      <c r="H16" s="56">
        <f>VLOOKUP($B16,'School Data'!$B$2:$V$15,5,FALSE)</f>
        <v>0.22853491955974525</v>
      </c>
      <c r="I16" s="56">
        <f>'School Data'!G13</f>
        <v>2.0785699438786114E-4</v>
      </c>
      <c r="J16" s="6">
        <f t="shared" si="0"/>
        <v>26247636.659543913</v>
      </c>
      <c r="K16" s="6">
        <f t="shared" si="1"/>
        <v>119363.70328760972</v>
      </c>
      <c r="M16" t="str">
        <f>VLOOKUP($B16,'School Data'!$B$2:$V$15,7,FALSE)</f>
        <v>R1</v>
      </c>
      <c r="N16" s="6">
        <f t="shared" si="2"/>
        <v>42911733.333333336</v>
      </c>
      <c r="O16" s="6">
        <f>IF(OR(M16="R2",M16="R3"),C16*'Model Costs and Assumptions'!$D$26,IF(M16="R1",C16*'Model Costs and Assumptions'!$D$27,0))</f>
        <v>64367600.000000007</v>
      </c>
      <c r="Q16" s="6">
        <f t="shared" si="3"/>
        <v>104129075.71000001</v>
      </c>
      <c r="R16" s="6">
        <f>'School Size Adjustment'!E12</f>
        <v>0</v>
      </c>
      <c r="T16" s="46">
        <f>VLOOKUP($B16,'School Data'!$B$2:$V$15,8,FALSE)</f>
        <v>11193988.2272</v>
      </c>
      <c r="U16" s="46">
        <f>VLOOKUP($B16,'School Data'!$B$2:$V$15,9,FALSE)</f>
        <v>4180875.7727999999</v>
      </c>
      <c r="V16" s="6">
        <f>T16*'Model Costs and Assumptions'!$C$8+('Model Costs and Assumptions'!$C$8+'Model Costs and Assumptions'!$D$29)*U16</f>
        <v>85157852.370112002</v>
      </c>
      <c r="W16" s="6">
        <f>(T16+U16)*'Model Costs and Assumptions'!$C$9</f>
        <v>40897138.240000002</v>
      </c>
      <c r="X16" s="6"/>
      <c r="Y16" s="14">
        <f t="shared" si="6"/>
        <v>1116858384.8063006</v>
      </c>
      <c r="Z16" s="6"/>
    </row>
    <row r="17" spans="1:26" x14ac:dyDescent="0.2">
      <c r="A17" s="17"/>
      <c r="B17" s="1" t="s">
        <v>12</v>
      </c>
      <c r="C17" s="44">
        <f>VLOOKUP($B17,'School Data'!$B$2:$V$15,4,FALSE)</f>
        <v>7389.666666666667</v>
      </c>
      <c r="D17" s="5"/>
      <c r="E17" s="6">
        <f>C17*$E$5</f>
        <v>24628133.273333337</v>
      </c>
      <c r="F17" s="6"/>
      <c r="G17" s="6">
        <f t="shared" si="5"/>
        <v>79112738.810199589</v>
      </c>
      <c r="H17" s="56">
        <f>VLOOKUP($B17,'School Data'!$B$2:$V$15,5,FALSE)</f>
        <v>0.14634804784103125</v>
      </c>
      <c r="I17" s="56">
        <f>'School Data'!G14</f>
        <v>0</v>
      </c>
      <c r="J17" s="6">
        <f t="shared" si="0"/>
        <v>2315598.9768460202</v>
      </c>
      <c r="K17" s="6">
        <f t="shared" si="1"/>
        <v>0</v>
      </c>
      <c r="M17" t="str">
        <f>VLOOKUP($B17,'School Data'!$B$2:$V$15,7,FALSE)</f>
        <v>Masters</v>
      </c>
      <c r="N17" s="6">
        <f t="shared" si="2"/>
        <v>5911733.333333334</v>
      </c>
      <c r="O17" s="6">
        <f>IF(OR(M17="R2",M17="R3"),C17*'Model Costs and Assumptions'!$D$26,IF(M17="R1",C17*'Model Costs and Assumptions'!$D$27,0))</f>
        <v>0</v>
      </c>
      <c r="Q17" s="6">
        <f t="shared" si="3"/>
        <v>14345338.210000001</v>
      </c>
      <c r="R17" s="6">
        <f>'School Size Adjustment'!E13</f>
        <v>4070238.6736688251</v>
      </c>
      <c r="T17" s="46">
        <f>VLOOKUP($B17,'School Data'!$B$2:$V$15,8,FALSE)</f>
        <v>2053815.1</v>
      </c>
      <c r="U17" s="46">
        <f>VLOOKUP($B17,'School Data'!$B$2:$V$15,9,FALSE)</f>
        <v>345488.65</v>
      </c>
      <c r="V17" s="6">
        <f>T17*'Model Costs and Assumptions'!$C$8+('Model Costs and Assumptions'!$C$8+'Model Costs and Assumptions'!$D$29)*U17</f>
        <v>12816487.721000001</v>
      </c>
      <c r="W17" s="6">
        <f>(T17+U17)*'Model Costs and Assumptions'!$C$9</f>
        <v>6382147.9750000006</v>
      </c>
      <c r="X17" s="6"/>
      <c r="Y17" s="14">
        <f>W17+Q17+O17+N17+G17+J17+E17+K17+R17+V17</f>
        <v>149582416.9733811</v>
      </c>
      <c r="Z17" s="6"/>
    </row>
    <row r="18" spans="1:26" x14ac:dyDescent="0.2">
      <c r="B18" s="2" t="s">
        <v>23</v>
      </c>
      <c r="C18" s="45">
        <f>SUM(C6:C17)</f>
        <v>177140.66666666666</v>
      </c>
      <c r="D18" s="28"/>
      <c r="E18" s="8">
        <f>SUM(E6:E17)</f>
        <v>590370871.0533334</v>
      </c>
      <c r="F18" s="8"/>
      <c r="G18" s="8">
        <f>SUM(G6:G17)</f>
        <v>1896443226.3067296</v>
      </c>
      <c r="H18" s="57">
        <f>VLOOKUP($B18,'School Data'!$B$2:$V$15,5,FALSE)</f>
        <v>0.19288246904931344</v>
      </c>
      <c r="I18" s="57">
        <f>'School Data'!G15</f>
        <v>2.3122715404699738E-2</v>
      </c>
      <c r="J18" s="8">
        <f>SUM(J6:J17)</f>
        <v>74398272.277515307</v>
      </c>
      <c r="K18" s="8">
        <f>SUM(K6:K17)</f>
        <v>45397293.746221162</v>
      </c>
      <c r="N18" s="8">
        <f>SUM(N6:N17)</f>
        <v>141712533.33333334</v>
      </c>
      <c r="O18" s="8">
        <f>SUM(O6:O17)</f>
        <v>140024200</v>
      </c>
      <c r="Q18" s="8">
        <f>SUM(Q6:Q17)</f>
        <v>343877861.97999996</v>
      </c>
      <c r="R18" s="8">
        <f>SUM(R6:R17)</f>
        <v>30350791.381591722</v>
      </c>
      <c r="T18" s="67">
        <f>SUM(T6:T17)</f>
        <v>39137062.107323341</v>
      </c>
      <c r="U18" s="67">
        <f>SUM(U6:U17)</f>
        <v>11081303.7061</v>
      </c>
      <c r="V18" s="8">
        <f>SUM(V6:V17)</f>
        <v>274183240.67212147</v>
      </c>
      <c r="W18" s="8">
        <f>SUM(W6:W17)</f>
        <v>133580853.06370607</v>
      </c>
      <c r="X18" s="6"/>
      <c r="Y18" s="15">
        <f>W18+Q18+O18+N18+G18+J18+E18+K18+R18+V18</f>
        <v>3670339143.8145523</v>
      </c>
      <c r="Z18" s="8"/>
    </row>
    <row r="19" spans="1:26" x14ac:dyDescent="0.2">
      <c r="T19" s="59"/>
      <c r="U19" s="59"/>
    </row>
    <row r="20" spans="1:26" x14ac:dyDescent="0.2">
      <c r="E20" s="18"/>
      <c r="G20" s="6"/>
      <c r="J20" s="18"/>
      <c r="Q20" s="8"/>
      <c r="R20" s="18"/>
      <c r="V20" s="59"/>
      <c r="W20" s="42"/>
      <c r="Y20" s="3"/>
    </row>
    <row r="21" spans="1:26" x14ac:dyDescent="0.2">
      <c r="G21" s="3"/>
      <c r="V21" s="59"/>
    </row>
  </sheetData>
  <sheetProtection algorithmName="SHA-512" hashValue="KYW5WMXspQCzPZPFnJzubPHkpOMK7w1iya+DZpKFxEAaRCziOqo+STym3OfYAuh854pptYMvIRKknr+/P0zbpw==" saltValue="HOiiseK7zoqGz4SbVs/wdw==" spinCount="100000" sheet="1" objects="1" scenarios="1"/>
  <mergeCells count="8">
    <mergeCell ref="G3:K3"/>
    <mergeCell ref="M4:O4"/>
    <mergeCell ref="Y4:Y5"/>
    <mergeCell ref="C4:C5"/>
    <mergeCell ref="I4:I5"/>
    <mergeCell ref="H4:H5"/>
    <mergeCell ref="T4:W4"/>
    <mergeCell ref="Q4:R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3925-B92E-3D48-A934-0078D0CE48F6}">
  <sheetPr>
    <tabColor theme="9"/>
  </sheetPr>
  <dimension ref="A1:U32"/>
  <sheetViews>
    <sheetView topLeftCell="L1" zoomScale="150" zoomScaleNormal="150" workbookViewId="0">
      <selection activeCell="T16" sqref="T16"/>
    </sheetView>
  </sheetViews>
  <sheetFormatPr baseColWidth="10" defaultRowHeight="15" x14ac:dyDescent="0.2"/>
  <cols>
    <col min="1" max="1" width="4.5" customWidth="1"/>
    <col min="2" max="2" width="34.33203125" bestFit="1" customWidth="1"/>
    <col min="3" max="3" width="14" customWidth="1"/>
    <col min="4" max="4" width="3.83203125" customWidth="1"/>
    <col min="5" max="5" width="14.83203125" customWidth="1"/>
    <col min="6" max="6" width="3.83203125" customWidth="1"/>
    <col min="7" max="7" width="14.1640625" customWidth="1"/>
    <col min="8" max="8" width="12.33203125" customWidth="1"/>
    <col min="9" max="14" width="15" customWidth="1"/>
    <col min="15" max="17" width="15.1640625" customWidth="1"/>
    <col min="18" max="18" width="16.6640625" customWidth="1"/>
    <col min="19" max="19" width="4.5" customWidth="1"/>
    <col min="20" max="20" width="15.33203125" customWidth="1"/>
    <col min="21" max="21" width="14.83203125" customWidth="1"/>
  </cols>
  <sheetData>
    <row r="1" spans="1:21" ht="15" customHeight="1" x14ac:dyDescent="0.2">
      <c r="M1" s="31"/>
      <c r="N1" s="31"/>
      <c r="S1" s="29"/>
      <c r="T1" s="29"/>
    </row>
    <row r="2" spans="1:21" x14ac:dyDescent="0.2">
      <c r="G2" s="7"/>
      <c r="H2" s="12">
        <f>'Model Costs and Assumptions'!D12</f>
        <v>1000</v>
      </c>
      <c r="I2" s="12">
        <f>'Model Costs and Assumptions'!D13</f>
        <v>500</v>
      </c>
      <c r="J2" s="12">
        <f>'Model Costs and Assumptions'!D14</f>
        <v>8000</v>
      </c>
      <c r="K2" s="12">
        <f>'Model Costs and Assumptions'!D15</f>
        <v>6000</v>
      </c>
      <c r="L2" s="12">
        <f>'Model Costs and Assumptions'!D16</f>
        <v>4000</v>
      </c>
      <c r="M2" s="12">
        <f>'Model Costs and Assumptions'!D17</f>
        <v>2000</v>
      </c>
      <c r="N2" s="12">
        <f>'Model Costs and Assumptions'!D15</f>
        <v>6000</v>
      </c>
      <c r="O2" s="12">
        <f>'Model Costs and Assumptions'!D16</f>
        <v>4000</v>
      </c>
      <c r="P2" s="12">
        <f>'Model Costs and Assumptions'!D23</f>
        <v>422</v>
      </c>
      <c r="Q2" s="12">
        <f>'Model Costs and Assumptions'!C5*'Model Costs and Assumptions'!D21*'Model Costs and Assumptions'!D24</f>
        <v>1070.5860274734935</v>
      </c>
      <c r="R2" s="12">
        <f>'Model Costs and Assumptions'!C5*'Model Costs and Assumptions'!D22*'Model Costs and Assumptions'!D25</f>
        <v>3211.7580824204802</v>
      </c>
      <c r="S2" s="7"/>
      <c r="T2" s="7"/>
    </row>
    <row r="3" spans="1:21" s="11" customFormat="1" ht="34" customHeight="1" x14ac:dyDescent="0.2">
      <c r="A3" s="24"/>
      <c r="B3" s="68"/>
      <c r="C3" s="181" t="s">
        <v>47</v>
      </c>
      <c r="D3" s="16"/>
      <c r="E3" s="181" t="s">
        <v>34</v>
      </c>
      <c r="F3" s="16"/>
      <c r="G3" s="181" t="s">
        <v>60</v>
      </c>
      <c r="H3" s="181" t="s">
        <v>18</v>
      </c>
      <c r="I3" s="181"/>
      <c r="J3" s="181" t="s">
        <v>24</v>
      </c>
      <c r="K3" s="181"/>
      <c r="L3" s="181"/>
      <c r="M3" s="181"/>
      <c r="N3" s="181" t="s">
        <v>27</v>
      </c>
      <c r="O3" s="181"/>
      <c r="P3" s="181" t="s">
        <v>17</v>
      </c>
      <c r="Q3" s="181"/>
      <c r="R3" s="41"/>
      <c r="S3" s="26"/>
      <c r="T3" s="181" t="s">
        <v>22</v>
      </c>
    </row>
    <row r="4" spans="1:21" s="11" customFormat="1" ht="48" x14ac:dyDescent="0.2">
      <c r="A4" s="17"/>
      <c r="B4" s="23" t="s">
        <v>13</v>
      </c>
      <c r="C4" s="182"/>
      <c r="D4" s="13"/>
      <c r="E4" s="182"/>
      <c r="F4" s="13"/>
      <c r="G4" s="182"/>
      <c r="H4" s="32" t="s">
        <v>19</v>
      </c>
      <c r="I4" s="32" t="s">
        <v>21</v>
      </c>
      <c r="J4" s="25" t="s">
        <v>25</v>
      </c>
      <c r="K4" s="25" t="s">
        <v>19</v>
      </c>
      <c r="L4" s="25" t="s">
        <v>20</v>
      </c>
      <c r="M4" s="25" t="s">
        <v>21</v>
      </c>
      <c r="N4" s="32" t="s">
        <v>19</v>
      </c>
      <c r="O4" s="32" t="s">
        <v>20</v>
      </c>
      <c r="P4" s="32" t="s">
        <v>131</v>
      </c>
      <c r="Q4" s="32" t="s">
        <v>28</v>
      </c>
      <c r="R4" s="32" t="s">
        <v>130</v>
      </c>
      <c r="S4" s="27"/>
      <c r="T4" s="182"/>
    </row>
    <row r="5" spans="1:21" x14ac:dyDescent="0.2">
      <c r="A5" s="17"/>
      <c r="B5" s="1" t="s">
        <v>1</v>
      </c>
      <c r="C5" s="5">
        <f>VLOOKUP(B5,'School Data'!$B$2:$V$15,4,FALSE)</f>
        <v>2365.6666666666665</v>
      </c>
      <c r="D5" s="5"/>
      <c r="E5" s="6">
        <f>'Institutional Base Calc'!Y6</f>
        <v>54475348.659390293</v>
      </c>
      <c r="F5" s="6"/>
      <c r="G5" s="79">
        <f>VLOOKUP($B5,'School Data'!$B$2:$W$15,19,FALSE)</f>
        <v>1.5</v>
      </c>
      <c r="H5" s="6">
        <f>H$2*VLOOKUP($B5,'School Data'!$B$2:$W$15,10,FALSE)</f>
        <v>1289333.3333333333</v>
      </c>
      <c r="I5" s="6">
        <f>I$2*VLOOKUP($B5,'School Data'!$B$2:$W$15,11,FALSE)</f>
        <v>55500</v>
      </c>
      <c r="J5" s="6">
        <f>J$2*VLOOKUP($B5,'School Data'!$B$2:$W$15,12,FALSE)*$G5</f>
        <v>15076000</v>
      </c>
      <c r="K5" s="6">
        <f>K$2*VLOOKUP($B5,'School Data'!$B$2:$W$15,13,FALSE)*$G5</f>
        <v>1287000</v>
      </c>
      <c r="L5" s="6">
        <f>L$2*VLOOKUP($B5,'School Data'!$B$2:$W$15,14,FALSE)*$G5</f>
        <v>154000</v>
      </c>
      <c r="M5" s="6">
        <f>M$2*VLOOKUP($B5,'School Data'!$B$2:$W$15,15,FALSE)*$G5</f>
        <v>3000</v>
      </c>
      <c r="N5" s="6">
        <f>N$2*VLOOKUP($B5,'School Data'!$B$2:$W$15,16,FALSE)*$G5</f>
        <v>4833000</v>
      </c>
      <c r="O5" s="6">
        <f>O$2*VLOOKUP($B5,'School Data'!$B$2:$W$15,17,FALSE)*$G5</f>
        <v>322000</v>
      </c>
      <c r="P5" s="6">
        <f t="shared" ref="P5:P16" si="0">P$2*C5</f>
        <v>998311.33333333326</v>
      </c>
      <c r="Q5" s="6">
        <f>Q$2*$C5*VLOOKUP(B5,'School Data'!$B$2:$Y$15,20,FALSE)</f>
        <v>104395.84140839218</v>
      </c>
      <c r="R5" s="6">
        <f>R$2*$C5*VLOOKUP(B5,'School Data'!$B$2:$Y$15,21,FALSE)</f>
        <v>355341.82142603153</v>
      </c>
      <c r="S5" s="5"/>
      <c r="T5" s="14">
        <f t="shared" ref="T5:T17" si="1">SUM(H5:R5)</f>
        <v>24477882.329501089</v>
      </c>
      <c r="U5" s="3"/>
    </row>
    <row r="6" spans="1:21" x14ac:dyDescent="0.2">
      <c r="A6" s="17"/>
      <c r="B6" s="1" t="s">
        <v>2</v>
      </c>
      <c r="C6" s="5">
        <f>VLOOKUP(B6,'School Data'!$B$2:$V$15,4,FALSE)</f>
        <v>6339.3333333333339</v>
      </c>
      <c r="D6" s="5"/>
      <c r="E6" s="6">
        <f>'Institutional Base Calc'!Y7</f>
        <v>125174761.34010226</v>
      </c>
      <c r="F6" s="6"/>
      <c r="G6" s="79">
        <f>VLOOKUP($B6,'School Data'!$B$2:$W$15,19,FALSE)</f>
        <v>1.3</v>
      </c>
      <c r="H6" s="6">
        <f>H$2*VLOOKUP($B6,'School Data'!$B$2:$W$15,10,FALSE)</f>
        <v>3571000</v>
      </c>
      <c r="I6" s="6">
        <f>I$2*VLOOKUP($B6,'School Data'!$B$2:$W$15,11,FALSE)</f>
        <v>89166.666666666672</v>
      </c>
      <c r="J6" s="6">
        <f>J$2*VLOOKUP($B6,'School Data'!$B$2:$W$15,12,FALSE)*$G6</f>
        <v>21507200</v>
      </c>
      <c r="K6" s="6">
        <f>K$2*VLOOKUP($B6,'School Data'!$B$2:$W$15,13,FALSE)*$G6</f>
        <v>8970000</v>
      </c>
      <c r="L6" s="6">
        <f>L$2*VLOOKUP($B6,'School Data'!$B$2:$W$15,14,FALSE)*$G6</f>
        <v>4004000</v>
      </c>
      <c r="M6" s="6">
        <f>M$2*VLOOKUP($B6,'School Data'!$B$2:$W$15,15,FALSE)*$G6</f>
        <v>959400</v>
      </c>
      <c r="N6" s="6">
        <f>N$2*VLOOKUP($B6,'School Data'!$B$2:$W$15,16,FALSE)*$G6</f>
        <v>772200</v>
      </c>
      <c r="O6" s="6">
        <f>O$2*VLOOKUP($B6,'School Data'!$B$2:$W$15,17,FALSE)*$G6</f>
        <v>487066.66666666663</v>
      </c>
      <c r="P6" s="6">
        <f t="shared" si="0"/>
        <v>2675198.666666667</v>
      </c>
      <c r="Q6" s="6">
        <f>Q$2*$C6*VLOOKUP(B6,'School Data'!$B$2:$Y$15,20,FALSE)</f>
        <v>128612.36909290361</v>
      </c>
      <c r="R6" s="6">
        <f>R$2*$C6*VLOOKUP(B6,'School Data'!$B$2:$Y$15,21,FALSE)</f>
        <v>0</v>
      </c>
      <c r="S6" s="5"/>
      <c r="T6" s="14">
        <f t="shared" si="1"/>
        <v>43163844.369092904</v>
      </c>
      <c r="U6" s="3"/>
    </row>
    <row r="7" spans="1:21" x14ac:dyDescent="0.2">
      <c r="A7" s="17"/>
      <c r="B7" s="1" t="s">
        <v>3</v>
      </c>
      <c r="C7" s="5">
        <f>VLOOKUP(B7,'School Data'!$B$2:$V$15,4,FALSE)</f>
        <v>4418.333333333333</v>
      </c>
      <c r="D7" s="5"/>
      <c r="E7" s="6">
        <f>'Institutional Base Calc'!Y8</f>
        <v>83922563.949581295</v>
      </c>
      <c r="F7" s="6"/>
      <c r="G7" s="79">
        <f>VLOOKUP($B7,'School Data'!$B$2:$W$15,19,FALSE)</f>
        <v>1.3</v>
      </c>
      <c r="H7" s="6">
        <f>H$2*VLOOKUP($B7,'School Data'!$B$2:$W$15,10,FALSE)</f>
        <v>2256666.6666666665</v>
      </c>
      <c r="I7" s="6">
        <f>I$2*VLOOKUP($B7,'School Data'!$B$2:$W$15,11,FALSE)</f>
        <v>78166.666666666672</v>
      </c>
      <c r="J7" s="6">
        <f>J$2*VLOOKUP($B7,'School Data'!$B$2:$W$15,12,FALSE)*$G7</f>
        <v>16230933.333333332</v>
      </c>
      <c r="K7" s="6">
        <f>K$2*VLOOKUP($B7,'School Data'!$B$2:$W$15,13,FALSE)*$G7</f>
        <v>3364400</v>
      </c>
      <c r="L7" s="6">
        <f>L$2*VLOOKUP($B7,'School Data'!$B$2:$W$15,14,FALSE)*$G7</f>
        <v>2502933.3333333335</v>
      </c>
      <c r="M7" s="6">
        <f>M$2*VLOOKUP($B7,'School Data'!$B$2:$W$15,15,FALSE)*$G7</f>
        <v>633533.33333333337</v>
      </c>
      <c r="N7" s="6">
        <f>N$2*VLOOKUP($B7,'School Data'!$B$2:$W$15,16,FALSE)*$G7</f>
        <v>4100200</v>
      </c>
      <c r="O7" s="6">
        <f>O$2*VLOOKUP($B7,'School Data'!$B$2:$W$15,17,FALSE)*$G7</f>
        <v>1000133.3333333333</v>
      </c>
      <c r="P7" s="6">
        <f t="shared" si="0"/>
        <v>1864536.6666666665</v>
      </c>
      <c r="Q7" s="6">
        <f>Q$2*$C7*VLOOKUP(B7,'School Data'!$B$2:$Y$15,20,FALSE)</f>
        <v>192883.21508862558</v>
      </c>
      <c r="R7" s="6">
        <f>R$2*$C7*VLOOKUP(B7,'School Data'!$B$2:$Y$15,21,FALSE)</f>
        <v>6264.1097223801353</v>
      </c>
      <c r="S7" s="5"/>
      <c r="T7" s="14">
        <f t="shared" si="1"/>
        <v>32230650.658144332</v>
      </c>
      <c r="U7" s="3"/>
    </row>
    <row r="8" spans="1:21" x14ac:dyDescent="0.2">
      <c r="A8" s="17"/>
      <c r="B8" s="1" t="s">
        <v>4</v>
      </c>
      <c r="C8" s="5">
        <f>VLOOKUP(B8,'School Data'!$B$2:$V$15,4,FALSE)</f>
        <v>20425.333333333336</v>
      </c>
      <c r="D8" s="5"/>
      <c r="E8" s="6">
        <f>'Institutional Base Calc'!Y9</f>
        <v>391252731.50019658</v>
      </c>
      <c r="F8" s="6"/>
      <c r="G8" s="79">
        <f>VLOOKUP($B8,'School Data'!$B$2:$W$15,19,FALSE)</f>
        <v>1</v>
      </c>
      <c r="H8" s="6">
        <f>H$2*VLOOKUP($B8,'School Data'!$B$2:$W$15,10,FALSE)</f>
        <v>8471333.333333334</v>
      </c>
      <c r="I8" s="6">
        <f>I$2*VLOOKUP($B8,'School Data'!$B$2:$W$15,11,FALSE)</f>
        <v>203000</v>
      </c>
      <c r="J8" s="6">
        <f>J$2*VLOOKUP($B8,'School Data'!$B$2:$W$15,12,FALSE)*$G8</f>
        <v>17573333.333333332</v>
      </c>
      <c r="K8" s="6">
        <f>K$2*VLOOKUP($B8,'School Data'!$B$2:$W$15,13,FALSE)*$G8</f>
        <v>16672000</v>
      </c>
      <c r="L8" s="6">
        <f>L$2*VLOOKUP($B8,'School Data'!$B$2:$W$15,14,FALSE)*$G8</f>
        <v>18784000</v>
      </c>
      <c r="M8" s="6">
        <f>M$2*VLOOKUP($B8,'School Data'!$B$2:$W$15,15,FALSE)*$G8</f>
        <v>14440000</v>
      </c>
      <c r="N8" s="6">
        <f>N$2*VLOOKUP($B8,'School Data'!$B$2:$W$15,16,FALSE)*$G8</f>
        <v>1136000</v>
      </c>
      <c r="O8" s="6">
        <f>O$2*VLOOKUP($B8,'School Data'!$B$2:$W$15,17,FALSE)*$G8</f>
        <v>968000</v>
      </c>
      <c r="P8" s="6">
        <f t="shared" si="0"/>
        <v>8619490.6666666679</v>
      </c>
      <c r="Q8" s="6">
        <f>Q$2*$C8*VLOOKUP(B8,'School Data'!$B$2:$Y$15,20,FALSE)</f>
        <v>520147.02451338491</v>
      </c>
      <c r="R8" s="6">
        <f>R$2*$C8*VLOOKUP(B8,'School Data'!$B$2:$Y$15,21,FALSE)</f>
        <v>2253.4472431673316</v>
      </c>
      <c r="S8" s="5"/>
      <c r="T8" s="14">
        <f t="shared" si="1"/>
        <v>87389557.805089876</v>
      </c>
      <c r="U8" s="3"/>
    </row>
    <row r="9" spans="1:21" x14ac:dyDescent="0.2">
      <c r="A9" s="17"/>
      <c r="B9" s="1" t="s">
        <v>5</v>
      </c>
      <c r="C9" s="5">
        <f>VLOOKUP(B9,'School Data'!$B$2:$V$15,4,FALSE)</f>
        <v>5983</v>
      </c>
      <c r="D9" s="5"/>
      <c r="E9" s="6">
        <f>'Institutional Base Calc'!Y10</f>
        <v>116732278.55743204</v>
      </c>
      <c r="F9" s="6"/>
      <c r="G9" s="79">
        <f>VLOOKUP($B9,'School Data'!$B$2:$W$15,19,FALSE)</f>
        <v>1.5</v>
      </c>
      <c r="H9" s="6">
        <f>H$2*VLOOKUP($B9,'School Data'!$B$2:$W$15,10,FALSE)</f>
        <v>4092333.3333333335</v>
      </c>
      <c r="I9" s="6">
        <f>I$2*VLOOKUP($B9,'School Data'!$B$2:$W$15,11,FALSE)</f>
        <v>19166.666666666668</v>
      </c>
      <c r="J9" s="6">
        <f>J$2*VLOOKUP($B9,'School Data'!$B$2:$W$15,12,FALSE)*$G9</f>
        <v>33411999.999999996</v>
      </c>
      <c r="K9" s="6">
        <f>K$2*VLOOKUP($B9,'School Data'!$B$2:$W$15,13,FALSE)*$G9</f>
        <v>6801000</v>
      </c>
      <c r="L9" s="6">
        <f>L$2*VLOOKUP($B9,'School Data'!$B$2:$W$15,14,FALSE)*$G9</f>
        <v>4478000</v>
      </c>
      <c r="M9" s="6">
        <f>M$2*VLOOKUP($B9,'School Data'!$B$2:$W$15,15,FALSE)*$G9</f>
        <v>355000</v>
      </c>
      <c r="N9" s="6">
        <f>N$2*VLOOKUP($B9,'School Data'!$B$2:$W$15,16,FALSE)*$G9</f>
        <v>1056000</v>
      </c>
      <c r="O9" s="6">
        <f>O$2*VLOOKUP($B9,'School Data'!$B$2:$W$15,17,FALSE)*$G9</f>
        <v>2550000</v>
      </c>
      <c r="P9" s="6">
        <f t="shared" si="0"/>
        <v>2524826</v>
      </c>
      <c r="Q9" s="6">
        <f>Q$2*$C9*VLOOKUP(B9,'School Data'!$B$2:$Y$15,20,FALSE)</f>
        <v>279261.03107162134</v>
      </c>
      <c r="R9" s="6">
        <f>R$2*$C9*VLOOKUP(B9,'School Data'!$B$2:$Y$15,21,FALSE)</f>
        <v>0</v>
      </c>
      <c r="S9" s="5"/>
      <c r="T9" s="14">
        <f t="shared" si="1"/>
        <v>55567587.031071618</v>
      </c>
      <c r="U9" s="3"/>
    </row>
    <row r="10" spans="1:21" x14ac:dyDescent="0.2">
      <c r="A10" s="17"/>
      <c r="B10" s="1" t="s">
        <v>6</v>
      </c>
      <c r="C10" s="5">
        <f>VLOOKUP(B10,'School Data'!$B$2:$V$15,4,FALSE)</f>
        <v>15856</v>
      </c>
      <c r="D10" s="5"/>
      <c r="E10" s="6">
        <f>'Institutional Base Calc'!Y11</f>
        <v>321816544.78480488</v>
      </c>
      <c r="F10" s="6"/>
      <c r="G10" s="79">
        <f>VLOOKUP($B10,'School Data'!$B$2:$W$15,19,FALSE)</f>
        <v>1.1000000000000001</v>
      </c>
      <c r="H10" s="6">
        <f>H$2*VLOOKUP($B10,'School Data'!$B$2:$W$15,10,FALSE)</f>
        <v>7827000</v>
      </c>
      <c r="I10" s="6">
        <f>I$2*VLOOKUP($B10,'School Data'!$B$2:$W$15,11,FALSE)</f>
        <v>256000</v>
      </c>
      <c r="J10" s="6">
        <f>J$2*VLOOKUP($B10,'School Data'!$B$2:$W$15,12,FALSE)*$G10</f>
        <v>29987466.666666668</v>
      </c>
      <c r="K10" s="6">
        <f>K$2*VLOOKUP($B10,'School Data'!$B$2:$W$15,13,FALSE)*$G10</f>
        <v>20620600</v>
      </c>
      <c r="L10" s="6">
        <f>L$2*VLOOKUP($B10,'School Data'!$B$2:$W$15,14,FALSE)*$G10</f>
        <v>11391600</v>
      </c>
      <c r="M10" s="6">
        <f>M$2*VLOOKUP($B10,'School Data'!$B$2:$W$15,15,FALSE)*$G10</f>
        <v>4246733.333333334</v>
      </c>
      <c r="N10" s="6">
        <f>N$2*VLOOKUP($B10,'School Data'!$B$2:$W$15,16,FALSE)*$G10</f>
        <v>2178000</v>
      </c>
      <c r="O10" s="6">
        <f>O$2*VLOOKUP($B10,'School Data'!$B$2:$W$15,17,FALSE)*$G10</f>
        <v>2264533.3333333335</v>
      </c>
      <c r="P10" s="6">
        <f t="shared" si="0"/>
        <v>6691232</v>
      </c>
      <c r="Q10" s="6">
        <f>Q$2*$C10*VLOOKUP(B10,'School Data'!$B$2:$Y$15,20,FALSE)</f>
        <v>704106.07901799842</v>
      </c>
      <c r="R10" s="6">
        <f>R$2*$C10*VLOOKUP(B10,'School Data'!$B$2:$Y$15,21,FALSE)</f>
        <v>97162.109911382824</v>
      </c>
      <c r="S10" s="5"/>
      <c r="T10" s="14">
        <f t="shared" si="1"/>
        <v>86264433.522262707</v>
      </c>
      <c r="U10" s="3"/>
    </row>
    <row r="11" spans="1:21" x14ac:dyDescent="0.2">
      <c r="A11" s="17"/>
      <c r="B11" s="1" t="s">
        <v>7</v>
      </c>
      <c r="C11" s="5">
        <f>VLOOKUP(B11,'School Data'!$B$2:$V$15,4,FALSE)</f>
        <v>11101</v>
      </c>
      <c r="D11" s="5"/>
      <c r="E11" s="6">
        <f>'Institutional Base Calc'!Y12</f>
        <v>247266998.77407947</v>
      </c>
      <c r="F11" s="6"/>
      <c r="G11" s="79">
        <f>VLOOKUP($B11,'School Data'!$B$2:$W$15,19,FALSE)</f>
        <v>1</v>
      </c>
      <c r="H11" s="6">
        <f>H$2*VLOOKUP($B11,'School Data'!$B$2:$W$15,10,FALSE)</f>
        <v>5233333.333333333</v>
      </c>
      <c r="I11" s="6">
        <f>I$2*VLOOKUP($B11,'School Data'!$B$2:$W$15,11,FALSE)</f>
        <v>129333.33333333334</v>
      </c>
      <c r="J11" s="6">
        <f>J$2*VLOOKUP($B11,'School Data'!$B$2:$W$15,12,FALSE)*$G11</f>
        <v>16144000</v>
      </c>
      <c r="K11" s="6">
        <f>K$2*VLOOKUP($B11,'School Data'!$B$2:$W$15,13,FALSE)*$G11</f>
        <v>9144000</v>
      </c>
      <c r="L11" s="6">
        <f>L$2*VLOOKUP($B11,'School Data'!$B$2:$W$15,14,FALSE)*$G11</f>
        <v>8697333.3333333321</v>
      </c>
      <c r="M11" s="6">
        <f>M$2*VLOOKUP($B11,'School Data'!$B$2:$W$15,15,FALSE)*$G11</f>
        <v>2947333.333333333</v>
      </c>
      <c r="N11" s="6">
        <f>N$2*VLOOKUP($B11,'School Data'!$B$2:$W$15,16,FALSE)*$G11</f>
        <v>2124000</v>
      </c>
      <c r="O11" s="6">
        <f>O$2*VLOOKUP($B11,'School Data'!$B$2:$W$15,17,FALSE)*$G11</f>
        <v>872000</v>
      </c>
      <c r="P11" s="6">
        <f t="shared" si="0"/>
        <v>4684622</v>
      </c>
      <c r="Q11" s="6">
        <f>Q$2*$C11*VLOOKUP(B11,'School Data'!$B$2:$Y$15,20,FALSE)</f>
        <v>246304.07588184188</v>
      </c>
      <c r="R11" s="6">
        <f>R$2*$C11*VLOOKUP(B11,'School Data'!$B$2:$Y$15,21,FALSE)</f>
        <v>98346.434221681498</v>
      </c>
      <c r="S11" s="5"/>
      <c r="T11" s="14">
        <f t="shared" si="1"/>
        <v>50320605.84343686</v>
      </c>
      <c r="U11" s="3"/>
    </row>
    <row r="12" spans="1:21" x14ac:dyDescent="0.2">
      <c r="A12" s="17"/>
      <c r="B12" s="1" t="s">
        <v>8</v>
      </c>
      <c r="C12" s="5">
        <f>VLOOKUP(B12,'School Data'!$B$2:$V$15,4,FALSE)</f>
        <v>12660</v>
      </c>
      <c r="D12" s="5"/>
      <c r="E12" s="6">
        <f>'Institutional Base Calc'!Y13</f>
        <v>263199215.93940118</v>
      </c>
      <c r="F12" s="6"/>
      <c r="G12" s="79">
        <f>VLOOKUP($B12,'School Data'!$B$2:$W$15,19,FALSE)</f>
        <v>1.1000000000000001</v>
      </c>
      <c r="H12" s="6">
        <f>H$2*VLOOKUP($B12,'School Data'!$B$2:$W$15,10,FALSE)</f>
        <v>5542666.666666667</v>
      </c>
      <c r="I12" s="6">
        <f>I$2*VLOOKUP($B12,'School Data'!$B$2:$W$15,11,FALSE)</f>
        <v>177666.66666666666</v>
      </c>
      <c r="J12" s="6">
        <f>J$2*VLOOKUP($B12,'School Data'!$B$2:$W$15,12,FALSE)*$G12</f>
        <v>26235733.333333332</v>
      </c>
      <c r="K12" s="6">
        <f>K$2*VLOOKUP($B12,'School Data'!$B$2:$W$15,13,FALSE)*$G12</f>
        <v>14198800</v>
      </c>
      <c r="L12" s="6">
        <f>L$2*VLOOKUP($B12,'School Data'!$B$2:$W$15,14,FALSE)*$G12</f>
        <v>8555066.6666666679</v>
      </c>
      <c r="M12" s="6">
        <f>M$2*VLOOKUP($B12,'School Data'!$B$2:$W$15,15,FALSE)*$G12</f>
        <v>3894733.3333333335</v>
      </c>
      <c r="N12" s="6">
        <f>N$2*VLOOKUP($B12,'School Data'!$B$2:$W$15,16,FALSE)*$G12</f>
        <v>1896400.0000000002</v>
      </c>
      <c r="O12" s="6">
        <f>O$2*VLOOKUP($B12,'School Data'!$B$2:$W$15,17,FALSE)*$G12</f>
        <v>775866.66666666663</v>
      </c>
      <c r="P12" s="6">
        <f t="shared" si="0"/>
        <v>5342520</v>
      </c>
      <c r="Q12" s="6">
        <f>Q$2*$C12*VLOOKUP(B12,'School Data'!$B$2:$Y$15,20,FALSE)</f>
        <v>328086.83838418615</v>
      </c>
      <c r="R12" s="6">
        <f>R$2*$C12*VLOOKUP(B12,'School Data'!$B$2:$Y$15,21,FALSE)</f>
        <v>180703.77075553988</v>
      </c>
      <c r="S12" s="5"/>
      <c r="T12" s="14">
        <f t="shared" si="1"/>
        <v>67128243.942473054</v>
      </c>
      <c r="U12" s="3"/>
    </row>
    <row r="13" spans="1:21" x14ac:dyDescent="0.2">
      <c r="A13" s="17"/>
      <c r="B13" s="1" t="s">
        <v>9</v>
      </c>
      <c r="C13" s="5">
        <f>VLOOKUP(B13,'School Data'!$B$2:$V$15,4,FALSE)</f>
        <v>33026</v>
      </c>
      <c r="D13" s="5"/>
      <c r="E13" s="6">
        <f>'Institutional Base Calc'!Y14</f>
        <v>722977272.24137032</v>
      </c>
      <c r="F13" s="6"/>
      <c r="G13" s="79">
        <f>VLOOKUP($B13,'School Data'!$B$2:$W$15,19,FALSE)</f>
        <v>1.3</v>
      </c>
      <c r="H13" s="6">
        <f>H$2*VLOOKUP($B13,'School Data'!$B$2:$W$15,10,FALSE)</f>
        <v>14901000</v>
      </c>
      <c r="I13" s="6">
        <f>I$2*VLOOKUP($B13,'School Data'!$B$2:$W$15,11,FALSE)</f>
        <v>226000</v>
      </c>
      <c r="J13" s="6">
        <f>J$2*VLOOKUP($B13,'School Data'!$B$2:$W$15,12,FALSE)*$G13</f>
        <v>104734933.33333333</v>
      </c>
      <c r="K13" s="6">
        <f>K$2*VLOOKUP($B13,'School Data'!$B$2:$W$15,13,FALSE)*$G13</f>
        <v>30934800</v>
      </c>
      <c r="L13" s="6">
        <f>L$2*VLOOKUP($B13,'School Data'!$B$2:$W$15,14,FALSE)*$G13</f>
        <v>17754533.333333332</v>
      </c>
      <c r="M13" s="6">
        <f>M$2*VLOOKUP($B13,'School Data'!$B$2:$W$15,15,FALSE)*$G13</f>
        <v>4107133.333333333</v>
      </c>
      <c r="N13" s="6">
        <f>N$2*VLOOKUP($B13,'School Data'!$B$2:$W$15,16,FALSE)*$G13</f>
        <v>7987200</v>
      </c>
      <c r="O13" s="6">
        <f>O$2*VLOOKUP($B13,'School Data'!$B$2:$W$15,17,FALSE)*$G13</f>
        <v>9174533.333333334</v>
      </c>
      <c r="P13" s="6">
        <f t="shared" si="0"/>
        <v>13936972</v>
      </c>
      <c r="Q13" s="6">
        <f>Q$2*$C13*VLOOKUP(B13,'School Data'!$B$2:$Y$15,20,FALSE)</f>
        <v>2076540.5646969185</v>
      </c>
      <c r="R13" s="6">
        <f>R$2*$C13*VLOOKUP(B13,'School Data'!$B$2:$Y$15,21,FALSE)</f>
        <v>2089475.6878523657</v>
      </c>
      <c r="S13" s="5"/>
      <c r="T13" s="14">
        <f t="shared" si="1"/>
        <v>207923121.5858826</v>
      </c>
      <c r="U13" s="3"/>
    </row>
    <row r="14" spans="1:21" x14ac:dyDescent="0.2">
      <c r="A14" s="17"/>
      <c r="B14" s="1" t="s">
        <v>10</v>
      </c>
      <c r="C14" s="5">
        <f>VLOOKUP(B14,'School Data'!$B$2:$V$15,4,FALSE)</f>
        <v>3936.666666666667</v>
      </c>
      <c r="D14" s="5"/>
      <c r="E14" s="6">
        <f>'Institutional Base Calc'!Y15</f>
        <v>77080626.288512006</v>
      </c>
      <c r="F14" s="6"/>
      <c r="G14" s="79">
        <f>VLOOKUP($B14,'School Data'!$B$2:$W$15,19,FALSE)</f>
        <v>1</v>
      </c>
      <c r="H14" s="6">
        <f>H$2*VLOOKUP($B14,'School Data'!$B$2:$W$15,10,FALSE)</f>
        <v>1719000</v>
      </c>
      <c r="I14" s="6">
        <f>I$2*VLOOKUP($B14,'School Data'!$B$2:$W$15,11,FALSE)</f>
        <v>31833.333333333332</v>
      </c>
      <c r="J14" s="6">
        <f>J$2*VLOOKUP($B14,'School Data'!$B$2:$W$15,12,FALSE)*$G14</f>
        <v>4861333.333333333</v>
      </c>
      <c r="K14" s="6">
        <f>K$2*VLOOKUP($B14,'School Data'!$B$2:$W$15,13,FALSE)*$G14</f>
        <v>2998000</v>
      </c>
      <c r="L14" s="6">
        <f>L$2*VLOOKUP($B14,'School Data'!$B$2:$W$15,14,FALSE)*$G14</f>
        <v>2917333.333333333</v>
      </c>
      <c r="M14" s="6">
        <f>M$2*VLOOKUP($B14,'School Data'!$B$2:$W$15,15,FALSE)*$G14</f>
        <v>991333.33333333326</v>
      </c>
      <c r="N14" s="6">
        <f>N$2*VLOOKUP($B14,'School Data'!$B$2:$W$15,16,FALSE)*$G14</f>
        <v>967999.99999999988</v>
      </c>
      <c r="O14" s="6">
        <f>O$2*VLOOKUP($B14,'School Data'!$B$2:$W$15,17,FALSE)*$G14</f>
        <v>438666.66666666663</v>
      </c>
      <c r="P14" s="6">
        <f t="shared" si="0"/>
        <v>1661273.3333333335</v>
      </c>
      <c r="Q14" s="6">
        <f>Q$2*$C14*VLOOKUP(B14,'School Data'!$B$2:$Y$15,20,FALSE)</f>
        <v>46995.147196571954</v>
      </c>
      <c r="R14" s="6">
        <f>R$2*$C14*VLOOKUP(B14,'School Data'!$B$2:$Y$15,21,FALSE)</f>
        <v>0</v>
      </c>
      <c r="S14" s="5"/>
      <c r="T14" s="14">
        <f t="shared" si="1"/>
        <v>16633768.480529906</v>
      </c>
      <c r="U14" s="3"/>
    </row>
    <row r="15" spans="1:21" x14ac:dyDescent="0.2">
      <c r="A15" s="17"/>
      <c r="B15" s="1" t="s">
        <v>11</v>
      </c>
      <c r="C15" s="5">
        <f>VLOOKUP(B15,'School Data'!$B$2:$V$15,4,FALSE)</f>
        <v>53639.666666666672</v>
      </c>
      <c r="D15" s="5"/>
      <c r="E15" s="6">
        <f>'Institutional Base Calc'!Y16</f>
        <v>1116858384.8063006</v>
      </c>
      <c r="F15" s="6"/>
      <c r="G15" s="79">
        <f>VLOOKUP($B15,'School Data'!$B$2:$W$15,19,FALSE)</f>
        <v>1</v>
      </c>
      <c r="H15" s="6">
        <f>H$2*VLOOKUP($B15,'School Data'!$B$2:$W$15,10,FALSE)</f>
        <v>12338333.333333334</v>
      </c>
      <c r="I15" s="6">
        <f>I$2*VLOOKUP($B15,'School Data'!$B$2:$W$15,11,FALSE)</f>
        <v>274000</v>
      </c>
      <c r="J15" s="6">
        <f>J$2*VLOOKUP($B15,'School Data'!$B$2:$W$15,12,FALSE)*$G15</f>
        <v>24296000</v>
      </c>
      <c r="K15" s="6">
        <f>K$2*VLOOKUP($B15,'School Data'!$B$2:$W$15,13,FALSE)*$G15</f>
        <v>28838000</v>
      </c>
      <c r="L15" s="6">
        <f>L$2*VLOOKUP($B15,'School Data'!$B$2:$W$15,14,FALSE)*$G15</f>
        <v>27369333.333333332</v>
      </c>
      <c r="M15" s="6">
        <f>M$2*VLOOKUP($B15,'School Data'!$B$2:$W$15,15,FALSE)*$G15</f>
        <v>2594666.6666666665</v>
      </c>
      <c r="N15" s="6">
        <f>N$2*VLOOKUP($B15,'School Data'!$B$2:$W$15,16,FALSE)*$G15</f>
        <v>5230000</v>
      </c>
      <c r="O15" s="6">
        <f>O$2*VLOOKUP($B15,'School Data'!$B$2:$W$15,17,FALSE)*$G15</f>
        <v>7004000</v>
      </c>
      <c r="P15" s="6">
        <f t="shared" si="0"/>
        <v>22635939.333333336</v>
      </c>
      <c r="Q15" s="6">
        <f>Q$2*$C15*VLOOKUP(B15,'School Data'!$B$2:$Y$15,20,FALSE)</f>
        <v>1184023.7073459933</v>
      </c>
      <c r="R15" s="6">
        <f>R$2*$C15*VLOOKUP(B15,'School Data'!$B$2:$Y$15,21,FALSE)</f>
        <v>4152.9165914069899</v>
      </c>
      <c r="S15" s="5"/>
      <c r="T15" s="14">
        <f>SUM(H15:R15)</f>
        <v>131768449.29060408</v>
      </c>
      <c r="U15" s="3"/>
    </row>
    <row r="16" spans="1:21" x14ac:dyDescent="0.2">
      <c r="A16" s="17"/>
      <c r="B16" s="1" t="s">
        <v>12</v>
      </c>
      <c r="C16" s="5">
        <f>VLOOKUP(B16,'School Data'!$B$2:$V$15,4,FALSE)</f>
        <v>7389.666666666667</v>
      </c>
      <c r="D16" s="5"/>
      <c r="E16" s="6">
        <f>'Institutional Base Calc'!Y17</f>
        <v>149582416.9733811</v>
      </c>
      <c r="F16" s="6"/>
      <c r="G16" s="79">
        <f>VLOOKUP($B16,'School Data'!$B$2:$W$15,19,FALSE)</f>
        <v>1.3</v>
      </c>
      <c r="H16" s="6">
        <f>H$2*VLOOKUP($B16,'School Data'!$B$2:$W$15,10,FALSE)</f>
        <v>3978333.3333333335</v>
      </c>
      <c r="I16" s="6">
        <f>I$2*VLOOKUP($B16,'School Data'!$B$2:$W$15,11,FALSE)</f>
        <v>98666.666666666672</v>
      </c>
      <c r="J16" s="6">
        <f>J$2*VLOOKUP($B16,'School Data'!$B$2:$W$15,12,FALSE)*$G16</f>
        <v>19978400</v>
      </c>
      <c r="K16" s="6">
        <f>K$2*VLOOKUP($B16,'School Data'!$B$2:$W$15,13,FALSE)*$G16</f>
        <v>15145000</v>
      </c>
      <c r="L16" s="6">
        <f>L$2*VLOOKUP($B16,'School Data'!$B$2:$W$15,14,FALSE)*$G16</f>
        <v>4078533.333333333</v>
      </c>
      <c r="M16" s="6">
        <f>M$2*VLOOKUP($B16,'School Data'!$B$2:$W$15,15,FALSE)*$G16</f>
        <v>1089400</v>
      </c>
      <c r="N16" s="6">
        <f>N$2*VLOOKUP($B16,'School Data'!$B$2:$W$15,16,FALSE)*$G16</f>
        <v>1063400</v>
      </c>
      <c r="O16" s="6">
        <f>O$2*VLOOKUP($B16,'School Data'!$B$2:$W$15,17,FALSE)*$G16</f>
        <v>695066.66666666663</v>
      </c>
      <c r="P16" s="6">
        <f t="shared" si="0"/>
        <v>3118439.3333333335</v>
      </c>
      <c r="Q16" s="6">
        <f>Q$2*$C16*VLOOKUP(B16,'School Data'!$B$2:$Y$15,20,FALSE)</f>
        <v>221492.07604614104</v>
      </c>
      <c r="R16" s="6">
        <f>R$2*$C16*VLOOKUP(B16,'School Data'!$B$2:$Y$15,21,FALSE)</f>
        <v>0</v>
      </c>
      <c r="S16" s="5"/>
      <c r="T16" s="14">
        <f t="shared" si="1"/>
        <v>49466731.409379475</v>
      </c>
      <c r="U16" s="3"/>
    </row>
    <row r="17" spans="2:21" x14ac:dyDescent="0.2">
      <c r="B17" s="2" t="s">
        <v>23</v>
      </c>
      <c r="C17" s="28">
        <f>SUM(C5:C16)</f>
        <v>177140.66666666666</v>
      </c>
      <c r="D17" s="28"/>
      <c r="E17" s="8">
        <f>'Institutional Base Calc'!Y18</f>
        <v>3670339143.8145523</v>
      </c>
      <c r="F17" s="8"/>
      <c r="G17" s="28"/>
      <c r="H17" s="8">
        <f>SUM(H5:H16)</f>
        <v>71220333.333333328</v>
      </c>
      <c r="I17" s="8">
        <f>SUM(I5:I16)</f>
        <v>1638500</v>
      </c>
      <c r="J17" s="8">
        <f t="shared" ref="J17:R17" si="2">SUM(J5:J16)</f>
        <v>330037333.33333331</v>
      </c>
      <c r="K17" s="8">
        <f t="shared" si="2"/>
        <v>158973600</v>
      </c>
      <c r="L17" s="8">
        <f t="shared" si="2"/>
        <v>110686666.66666666</v>
      </c>
      <c r="M17" s="8">
        <f t="shared" si="2"/>
        <v>36262266.666666664</v>
      </c>
      <c r="N17" s="8">
        <f t="shared" si="2"/>
        <v>33344400</v>
      </c>
      <c r="O17" s="8">
        <f>SUM(O5:O16)</f>
        <v>26551866.666666672</v>
      </c>
      <c r="P17" s="8">
        <f>SUM(P5:P16)</f>
        <v>74753361.333333328</v>
      </c>
      <c r="Q17" s="8">
        <f t="shared" si="2"/>
        <v>6032847.9697445789</v>
      </c>
      <c r="R17" s="8">
        <f t="shared" si="2"/>
        <v>2833700.2977239555</v>
      </c>
      <c r="T17" s="15">
        <f t="shared" si="1"/>
        <v>852334876.26746845</v>
      </c>
      <c r="U17" s="3"/>
    </row>
    <row r="18" spans="2:21" ht="15" customHeight="1" x14ac:dyDescent="0.2">
      <c r="M18" s="31"/>
      <c r="N18" s="31"/>
      <c r="S18" s="6"/>
    </row>
    <row r="19" spans="2:21" ht="15" customHeight="1" x14ac:dyDescent="0.2">
      <c r="H19" s="12"/>
      <c r="I19" s="12"/>
      <c r="J19" s="12"/>
      <c r="K19" s="12"/>
      <c r="L19" s="12"/>
      <c r="M19" s="12"/>
      <c r="N19" s="108"/>
      <c r="O19" s="12"/>
      <c r="S19" s="6"/>
    </row>
    <row r="20" spans="2:21" x14ac:dyDescent="0.2">
      <c r="H20" s="12"/>
      <c r="I20" s="12"/>
      <c r="J20" s="12"/>
      <c r="K20" s="12"/>
      <c r="L20" s="12"/>
      <c r="M20" s="12"/>
      <c r="N20" s="108"/>
      <c r="O20" s="12"/>
      <c r="S20" s="69"/>
    </row>
    <row r="21" spans="2:21" x14ac:dyDescent="0.2">
      <c r="H21" s="12"/>
      <c r="I21" s="12"/>
      <c r="J21" s="12"/>
      <c r="K21" s="12"/>
      <c r="L21" s="12"/>
      <c r="M21" s="12"/>
      <c r="N21" s="108"/>
      <c r="O21" s="12"/>
      <c r="S21" s="69"/>
    </row>
    <row r="22" spans="2:21" x14ac:dyDescent="0.2">
      <c r="H22" s="12"/>
      <c r="I22" s="12"/>
      <c r="J22" s="12"/>
      <c r="K22" s="12"/>
      <c r="L22" s="12"/>
      <c r="M22" s="12"/>
      <c r="N22" s="108"/>
      <c r="O22" s="12"/>
      <c r="S22" s="69"/>
    </row>
    <row r="23" spans="2:21" x14ac:dyDescent="0.2">
      <c r="H23" s="12"/>
      <c r="I23" s="12"/>
      <c r="J23" s="12"/>
      <c r="K23" s="12"/>
      <c r="L23" s="12"/>
      <c r="M23" s="12"/>
      <c r="N23" s="108"/>
      <c r="O23" s="12"/>
      <c r="S23" s="69"/>
    </row>
    <row r="24" spans="2:21" x14ac:dyDescent="0.2">
      <c r="H24" s="12"/>
      <c r="I24" s="12"/>
      <c r="J24" s="12"/>
      <c r="K24" s="12"/>
      <c r="L24" s="12"/>
      <c r="M24" s="12"/>
      <c r="N24" s="108"/>
      <c r="O24" s="12"/>
      <c r="S24" s="69"/>
    </row>
    <row r="25" spans="2:21" x14ac:dyDescent="0.2">
      <c r="H25" s="12"/>
      <c r="I25" s="12"/>
      <c r="J25" s="12"/>
      <c r="K25" s="12"/>
      <c r="L25" s="12"/>
      <c r="M25" s="12"/>
      <c r="N25" s="108"/>
      <c r="O25" s="12"/>
      <c r="S25" s="69"/>
    </row>
    <row r="26" spans="2:21" x14ac:dyDescent="0.2">
      <c r="H26" s="12"/>
      <c r="I26" s="12"/>
      <c r="J26" s="12"/>
      <c r="K26" s="12"/>
      <c r="L26" s="12"/>
      <c r="M26" s="12"/>
      <c r="N26" s="108"/>
      <c r="O26" s="12"/>
      <c r="S26" s="69"/>
    </row>
    <row r="27" spans="2:21" x14ac:dyDescent="0.2">
      <c r="H27" s="12"/>
      <c r="I27" s="12"/>
      <c r="J27" s="12"/>
      <c r="K27" s="12"/>
      <c r="L27" s="12"/>
      <c r="M27" s="12"/>
      <c r="N27" s="108"/>
      <c r="O27" s="12"/>
      <c r="S27" s="69"/>
    </row>
    <row r="28" spans="2:21" x14ac:dyDescent="0.2">
      <c r="H28" s="12"/>
      <c r="I28" s="12"/>
      <c r="J28" s="12"/>
      <c r="K28" s="12"/>
      <c r="L28" s="12"/>
      <c r="M28" s="12"/>
      <c r="N28" s="108"/>
      <c r="O28" s="12"/>
      <c r="S28" s="69"/>
    </row>
    <row r="29" spans="2:21" x14ac:dyDescent="0.2">
      <c r="H29" s="12"/>
      <c r="I29" s="12"/>
      <c r="J29" s="12"/>
      <c r="K29" s="12"/>
      <c r="L29" s="12"/>
      <c r="M29" s="12"/>
      <c r="N29" s="108"/>
      <c r="O29" s="12"/>
      <c r="S29" s="69"/>
    </row>
    <row r="30" spans="2:21" x14ac:dyDescent="0.2">
      <c r="H30" s="12"/>
      <c r="I30" s="12"/>
      <c r="J30" s="12"/>
      <c r="K30" s="12"/>
      <c r="L30" s="12"/>
      <c r="M30" s="12"/>
      <c r="N30" s="108"/>
      <c r="O30" s="12"/>
    </row>
    <row r="31" spans="2:21" x14ac:dyDescent="0.2">
      <c r="J31" s="12"/>
      <c r="K31" s="12"/>
      <c r="L31" s="12"/>
      <c r="M31" s="12"/>
      <c r="N31" s="108"/>
    </row>
    <row r="32" spans="2:21" x14ac:dyDescent="0.2">
      <c r="J32" s="12"/>
      <c r="K32" s="12"/>
      <c r="L32" s="12"/>
      <c r="M32" s="12"/>
    </row>
  </sheetData>
  <sheetProtection algorithmName="SHA-512" hashValue="MGpJdG3Akea4LubEspn4Ml7CWZ/ixqc1PJuTpys90Uij/MINKPaSDXAs9k2Lo2IljiJRPLZ75UsRjbROqWu1Qg==" saltValue="Q5NjTUS2sz/kxYaoXLWLdg==" spinCount="100000" sheet="1" objects="1" scenarios="1"/>
  <mergeCells count="8">
    <mergeCell ref="G3:G4"/>
    <mergeCell ref="T3:T4"/>
    <mergeCell ref="C3:C4"/>
    <mergeCell ref="E3:E4"/>
    <mergeCell ref="H3:I3"/>
    <mergeCell ref="J3:M3"/>
    <mergeCell ref="N3:O3"/>
    <mergeCell ref="P3:Q3"/>
  </mergeCell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F4B74-05A2-B849-896F-9282DB81CFFD}">
  <sheetPr>
    <tabColor theme="9"/>
  </sheetPr>
  <dimension ref="B1:M24"/>
  <sheetViews>
    <sheetView zoomScale="160" zoomScaleNormal="160" workbookViewId="0">
      <pane xSplit="2" topLeftCell="F1" activePane="topRight" state="frozen"/>
      <selection pane="topRight" activeCell="G5" sqref="G5"/>
    </sheetView>
  </sheetViews>
  <sheetFormatPr baseColWidth="10" defaultRowHeight="16" x14ac:dyDescent="0.2"/>
  <cols>
    <col min="1" max="1" width="3.1640625" customWidth="1"/>
    <col min="2" max="2" width="35.83203125" customWidth="1"/>
    <col min="3" max="3" width="16.1640625" customWidth="1"/>
    <col min="4" max="4" width="3.5" customWidth="1"/>
    <col min="5" max="7" width="19.6640625" customWidth="1"/>
    <col min="8" max="8" width="3.1640625" customWidth="1"/>
    <col min="9" max="9" width="10.6640625" customWidth="1"/>
    <col min="10" max="10" width="3.1640625" customWidth="1"/>
    <col min="11" max="11" width="18" customWidth="1"/>
    <col min="12" max="12" width="3.83203125" style="47" customWidth="1"/>
  </cols>
  <sheetData>
    <row r="1" spans="2:13" x14ac:dyDescent="0.2">
      <c r="E1" s="183" t="s">
        <v>39</v>
      </c>
      <c r="F1" s="183"/>
      <c r="G1" s="183"/>
      <c r="I1" s="100"/>
      <c r="K1" s="99"/>
      <c r="L1" s="48"/>
    </row>
    <row r="2" spans="2:13" ht="32" x14ac:dyDescent="0.2">
      <c r="B2" s="74" t="s">
        <v>13</v>
      </c>
      <c r="C2" s="50" t="s">
        <v>47</v>
      </c>
      <c r="D2" s="51"/>
      <c r="E2" s="50" t="s">
        <v>41</v>
      </c>
      <c r="F2" s="50" t="s">
        <v>45</v>
      </c>
      <c r="G2" s="50" t="s">
        <v>42</v>
      </c>
      <c r="I2" s="50" t="s">
        <v>61</v>
      </c>
      <c r="K2" s="50" t="s">
        <v>64</v>
      </c>
      <c r="L2" s="52"/>
    </row>
    <row r="3" spans="2:13" x14ac:dyDescent="0.2">
      <c r="B3" s="58" t="s">
        <v>1</v>
      </c>
      <c r="C3" s="5">
        <f>VLOOKUP($B3,'School Data'!$B$2:$V$15,4,FALSE)</f>
        <v>2365.6666666666665</v>
      </c>
      <c r="D3" s="5"/>
      <c r="E3" s="60">
        <f>'Institutional Base Calc'!Y6</f>
        <v>54475348.659390293</v>
      </c>
      <c r="F3" s="60">
        <f>'Instituional Equity Calc'!T5</f>
        <v>24477882.329501089</v>
      </c>
      <c r="G3" s="60">
        <f>F3+E3</f>
        <v>78953230.988891378</v>
      </c>
      <c r="I3" s="176">
        <f>VLOOKUP($B3,'School Data'!$B$2:$W$15,22,FALSE)</f>
        <v>0.23094265182471452</v>
      </c>
      <c r="K3" s="6">
        <f>I3*E3</f>
        <v>12580681.478475502</v>
      </c>
      <c r="L3" s="61"/>
      <c r="M3" s="6"/>
    </row>
    <row r="4" spans="2:13" x14ac:dyDescent="0.2">
      <c r="B4" s="58" t="s">
        <v>2</v>
      </c>
      <c r="C4" s="5">
        <f>VLOOKUP($B4,'School Data'!$B$2:$V$15,4,FALSE)</f>
        <v>6339.3333333333339</v>
      </c>
      <c r="D4" s="5"/>
      <c r="E4" s="60">
        <f>'Institutional Base Calc'!Y7</f>
        <v>125174761.34010226</v>
      </c>
      <c r="F4" s="60">
        <f>'Instituional Equity Calc'!T6</f>
        <v>43163844.369092904</v>
      </c>
      <c r="G4" s="60">
        <f t="shared" ref="G4:G14" si="0">F4+E4</f>
        <v>168338605.70919517</v>
      </c>
      <c r="I4" s="176">
        <f>VLOOKUP($B4,'School Data'!$B$2:$W$15,22,FALSE)</f>
        <v>0.43572667998738024</v>
      </c>
      <c r="K4" s="6">
        <f t="shared" ref="K4:K14" si="1">I4*E4</f>
        <v>54541983.176935434</v>
      </c>
      <c r="L4" s="61"/>
      <c r="M4" s="6"/>
    </row>
    <row r="5" spans="2:13" x14ac:dyDescent="0.2">
      <c r="B5" s="58" t="s">
        <v>3</v>
      </c>
      <c r="C5" s="5">
        <f>VLOOKUP($B5,'School Data'!$B$2:$V$15,4,FALSE)</f>
        <v>4418.333333333333</v>
      </c>
      <c r="D5" s="5"/>
      <c r="E5" s="60">
        <f>'Institutional Base Calc'!Y8</f>
        <v>83922563.949581295</v>
      </c>
      <c r="F5" s="60">
        <f>'Instituional Equity Calc'!T7</f>
        <v>32230650.658144332</v>
      </c>
      <c r="G5" s="60">
        <f t="shared" si="0"/>
        <v>116153214.60772562</v>
      </c>
      <c r="I5" s="176">
        <f>VLOOKUP($B5,'School Data'!$B$2:$W$15,22,FALSE)</f>
        <v>0.31494530365899664</v>
      </c>
      <c r="K5" s="6">
        <f t="shared" si="1"/>
        <v>26431017.386942446</v>
      </c>
      <c r="L5" s="61"/>
      <c r="M5" s="6"/>
    </row>
    <row r="6" spans="2:13" x14ac:dyDescent="0.2">
      <c r="B6" s="58" t="s">
        <v>4</v>
      </c>
      <c r="C6" s="5">
        <f>VLOOKUP($B6,'School Data'!$B$2:$V$15,4,FALSE)</f>
        <v>20425.333333333336</v>
      </c>
      <c r="D6" s="5"/>
      <c r="E6" s="60">
        <f>'Institutional Base Calc'!Y9</f>
        <v>391252731.50019658</v>
      </c>
      <c r="F6" s="60">
        <f>'Instituional Equity Calc'!T8</f>
        <v>87389557.805089876</v>
      </c>
      <c r="G6" s="60">
        <f t="shared" si="0"/>
        <v>478642289.30528647</v>
      </c>
      <c r="I6" s="176">
        <f>VLOOKUP($B6,'School Data'!$B$2:$W$15,22,FALSE)</f>
        <v>0.46920735687708071</v>
      </c>
      <c r="K6" s="6">
        <f t="shared" si="1"/>
        <v>183578660.01814538</v>
      </c>
      <c r="L6" s="61"/>
      <c r="M6" s="6"/>
    </row>
    <row r="7" spans="2:13" x14ac:dyDescent="0.2">
      <c r="B7" s="58" t="s">
        <v>5</v>
      </c>
      <c r="C7" s="5">
        <f>VLOOKUP($B7,'School Data'!$B$2:$V$15,4,FALSE)</f>
        <v>5983</v>
      </c>
      <c r="D7" s="5"/>
      <c r="E7" s="60">
        <f>'Institutional Base Calc'!Y10</f>
        <v>116732278.55743204</v>
      </c>
      <c r="F7" s="60">
        <f>'Instituional Equity Calc'!T9</f>
        <v>55567587.031071618</v>
      </c>
      <c r="G7" s="60">
        <f t="shared" si="0"/>
        <v>172299865.58850366</v>
      </c>
      <c r="I7" s="176">
        <f>VLOOKUP($B7,'School Data'!$B$2:$W$15,22,FALSE)</f>
        <v>0.24508607721878661</v>
      </c>
      <c r="K7" s="6">
        <f t="shared" si="1"/>
        <v>28609456.236451697</v>
      </c>
      <c r="L7" s="61"/>
      <c r="M7" s="6"/>
    </row>
    <row r="8" spans="2:13" x14ac:dyDescent="0.2">
      <c r="B8" s="58" t="s">
        <v>6</v>
      </c>
      <c r="C8" s="5">
        <f>VLOOKUP($B8,'School Data'!$B$2:$V$15,4,FALSE)</f>
        <v>15856</v>
      </c>
      <c r="D8" s="5"/>
      <c r="E8" s="60">
        <f>'Institutional Base Calc'!Y11</f>
        <v>321816544.78480488</v>
      </c>
      <c r="F8" s="60">
        <f>'Instituional Equity Calc'!T10</f>
        <v>86264433.522262707</v>
      </c>
      <c r="G8" s="60">
        <f t="shared" si="0"/>
        <v>408080978.30706757</v>
      </c>
      <c r="I8" s="176">
        <f>VLOOKUP($B8,'School Data'!$B$2:$W$15,22,FALSE)</f>
        <v>0.39292276320215269</v>
      </c>
      <c r="K8" s="6">
        <f t="shared" si="1"/>
        <v>126449046.02101485</v>
      </c>
      <c r="L8" s="61"/>
      <c r="M8" s="6"/>
    </row>
    <row r="9" spans="2:13" x14ac:dyDescent="0.2">
      <c r="B9" s="58" t="s">
        <v>7</v>
      </c>
      <c r="C9" s="5">
        <f>VLOOKUP($B9,'School Data'!$B$2:$V$15,4,FALSE)</f>
        <v>11101</v>
      </c>
      <c r="D9" s="5"/>
      <c r="E9" s="60">
        <f>'Institutional Base Calc'!Y12</f>
        <v>247266998.77407947</v>
      </c>
      <c r="F9" s="60">
        <f>'Instituional Equity Calc'!T11</f>
        <v>50320605.84343686</v>
      </c>
      <c r="G9" s="60">
        <f t="shared" si="0"/>
        <v>297587604.61751634</v>
      </c>
      <c r="I9" s="176">
        <f>VLOOKUP($B9,'School Data'!$B$2:$W$15,22,FALSE)</f>
        <v>0.51315497102363139</v>
      </c>
      <c r="K9" s="6">
        <f t="shared" si="1"/>
        <v>126886289.59101304</v>
      </c>
      <c r="L9" s="61"/>
      <c r="M9" s="6"/>
    </row>
    <row r="10" spans="2:13" x14ac:dyDescent="0.2">
      <c r="B10" s="58" t="s">
        <v>8</v>
      </c>
      <c r="C10" s="5">
        <f>VLOOKUP($B10,'School Data'!$B$2:$V$15,4,FALSE)</f>
        <v>12660</v>
      </c>
      <c r="D10" s="5"/>
      <c r="E10" s="60">
        <f>'Institutional Base Calc'!Y13</f>
        <v>263199215.93940118</v>
      </c>
      <c r="F10" s="60">
        <f>'Instituional Equity Calc'!T12</f>
        <v>67128243.942473054</v>
      </c>
      <c r="G10" s="60">
        <f t="shared" si="0"/>
        <v>330327459.8818742</v>
      </c>
      <c r="I10" s="176">
        <f>VLOOKUP($B10,'School Data'!$B$2:$W$15,22,FALSE)</f>
        <v>0.51662980516061074</v>
      </c>
      <c r="K10" s="6">
        <f t="shared" si="1"/>
        <v>135976559.64919835</v>
      </c>
      <c r="L10" s="61"/>
      <c r="M10" s="6"/>
    </row>
    <row r="11" spans="2:13" x14ac:dyDescent="0.2">
      <c r="B11" s="58" t="s">
        <v>9</v>
      </c>
      <c r="C11" s="5">
        <f>VLOOKUP($B11,'School Data'!$B$2:$V$15,4,FALSE)</f>
        <v>33026</v>
      </c>
      <c r="D11" s="5"/>
      <c r="E11" s="60">
        <f>'Institutional Base Calc'!Y14</f>
        <v>722977272.24137032</v>
      </c>
      <c r="F11" s="60">
        <f>'Instituional Equity Calc'!T13</f>
        <v>207923121.5858826</v>
      </c>
      <c r="G11" s="60">
        <f t="shared" si="0"/>
        <v>930900393.82725286</v>
      </c>
      <c r="I11" s="176">
        <f>VLOOKUP($B11,'School Data'!$B$2:$W$15,22,FALSE)</f>
        <v>0.42111921920103357</v>
      </c>
      <c r="K11" s="6">
        <f t="shared" si="1"/>
        <v>304459624.38637894</v>
      </c>
      <c r="L11" s="61"/>
      <c r="M11" s="6"/>
    </row>
    <row r="12" spans="2:13" x14ac:dyDescent="0.2">
      <c r="B12" s="58" t="s">
        <v>10</v>
      </c>
      <c r="C12" s="5">
        <f>VLOOKUP($B12,'School Data'!$B$2:$V$15,4,FALSE)</f>
        <v>3936.666666666667</v>
      </c>
      <c r="D12" s="5"/>
      <c r="E12" s="60">
        <f>'Institutional Base Calc'!Y15</f>
        <v>77080626.288512006</v>
      </c>
      <c r="F12" s="60">
        <f>'Instituional Equity Calc'!T14</f>
        <v>16633768.480529906</v>
      </c>
      <c r="G12" s="60">
        <f t="shared" si="0"/>
        <v>93714394.769041911</v>
      </c>
      <c r="I12" s="176">
        <f>VLOOKUP($B12,'School Data'!$B$2:$W$15,22,FALSE)</f>
        <v>0.51118966977138025</v>
      </c>
      <c r="K12" s="6">
        <f t="shared" si="1"/>
        <v>39402819.898195624</v>
      </c>
      <c r="L12" s="61"/>
      <c r="M12" s="6"/>
    </row>
    <row r="13" spans="2:13" x14ac:dyDescent="0.2">
      <c r="B13" s="58" t="s">
        <v>11</v>
      </c>
      <c r="C13" s="5">
        <f>VLOOKUP($B13,'School Data'!$B$2:$V$15,4,FALSE)</f>
        <v>53639.666666666672</v>
      </c>
      <c r="D13" s="5"/>
      <c r="E13" s="60">
        <f>'Institutional Base Calc'!Y16</f>
        <v>1116858384.8063006</v>
      </c>
      <c r="F13" s="60">
        <f>'Instituional Equity Calc'!T15</f>
        <v>131768449.29060408</v>
      </c>
      <c r="G13" s="60">
        <f t="shared" si="0"/>
        <v>1248626834.0969048</v>
      </c>
      <c r="I13" s="176">
        <f>VLOOKUP($B13,'School Data'!$B$2:$W$15,22,FALSE)</f>
        <v>0.65078238119799403</v>
      </c>
      <c r="K13" s="6">
        <f t="shared" si="1"/>
        <v>726831759.1251899</v>
      </c>
      <c r="L13" s="61"/>
      <c r="M13" s="6"/>
    </row>
    <row r="14" spans="2:13" x14ac:dyDescent="0.2">
      <c r="B14" s="58" t="s">
        <v>12</v>
      </c>
      <c r="C14" s="5">
        <f>VLOOKUP($B14,'School Data'!$B$2:$V$15,4,FALSE)</f>
        <v>7389.666666666667</v>
      </c>
      <c r="D14" s="5"/>
      <c r="E14" s="60">
        <f>'Institutional Base Calc'!Y17</f>
        <v>149582416.9733811</v>
      </c>
      <c r="F14" s="60">
        <f>'Instituional Equity Calc'!T16</f>
        <v>49466731.409379475</v>
      </c>
      <c r="G14" s="60">
        <f t="shared" si="0"/>
        <v>199049148.38276058</v>
      </c>
      <c r="I14" s="176">
        <f>VLOOKUP($B14,'School Data'!$B$2:$W$15,22,FALSE)</f>
        <v>0.45251928368442407</v>
      </c>
      <c r="K14" s="6">
        <f t="shared" si="1"/>
        <v>67688928.18057926</v>
      </c>
      <c r="L14" s="61"/>
      <c r="M14" s="6"/>
    </row>
    <row r="15" spans="2:13" x14ac:dyDescent="0.2">
      <c r="B15" s="62" t="s">
        <v>23</v>
      </c>
      <c r="C15" s="28">
        <f>SUM(C3:C14)</f>
        <v>177140.66666666666</v>
      </c>
      <c r="D15" s="63"/>
      <c r="E15" s="64">
        <f>'Institutional Base Calc'!Y18</f>
        <v>3670339143.8145523</v>
      </c>
      <c r="F15" s="64">
        <f>'Instituional Equity Calc'!T17</f>
        <v>852334876.26746845</v>
      </c>
      <c r="G15" s="64">
        <f>F15+E15</f>
        <v>4522674020.0820208</v>
      </c>
      <c r="I15" s="177">
        <f>VLOOKUP($B15,'School Data'!$B$2:$W$15,22,FALSE)</f>
        <v>0.4989784954330081</v>
      </c>
      <c r="J15" s="49"/>
      <c r="K15" s="8">
        <f>SUM(K3:K14)</f>
        <v>1833436825.1485205</v>
      </c>
      <c r="L15" s="65"/>
    </row>
    <row r="16" spans="2:13" ht="16" customHeight="1" x14ac:dyDescent="0.2">
      <c r="B16" s="1"/>
      <c r="C16" s="1"/>
      <c r="D16" s="1"/>
      <c r="E16" s="53"/>
      <c r="G16" s="53"/>
      <c r="K16" s="21"/>
      <c r="L16" s="11"/>
    </row>
    <row r="17" spans="5:12" ht="15" x14ac:dyDescent="0.2">
      <c r="E17" s="3"/>
      <c r="G17" s="18"/>
      <c r="K17" s="11"/>
      <c r="L17" s="11"/>
    </row>
    <row r="18" spans="5:12" ht="15" x14ac:dyDescent="0.2">
      <c r="K18" s="11"/>
      <c r="L18" s="11"/>
    </row>
    <row r="19" spans="5:12" ht="15" x14ac:dyDescent="0.2">
      <c r="K19" s="11"/>
      <c r="L19" s="11"/>
    </row>
    <row r="20" spans="5:12" ht="15" x14ac:dyDescent="0.2">
      <c r="K20" s="11"/>
      <c r="L20" s="11"/>
    </row>
    <row r="21" spans="5:12" ht="15" x14ac:dyDescent="0.2">
      <c r="K21" s="11"/>
      <c r="L21" s="11"/>
    </row>
    <row r="22" spans="5:12" ht="15" x14ac:dyDescent="0.2">
      <c r="K22" s="11"/>
      <c r="L22" s="11"/>
    </row>
    <row r="23" spans="5:12" ht="15" x14ac:dyDescent="0.2">
      <c r="K23" s="11"/>
      <c r="L23" s="11"/>
    </row>
    <row r="24" spans="5:12" ht="15" x14ac:dyDescent="0.2">
      <c r="K24" s="11"/>
      <c r="L24" s="11"/>
    </row>
  </sheetData>
  <sheetProtection algorithmName="SHA-512" hashValue="YLWZ8XAIOylc7lih2GhBn4uTti8/Ykn+H7KQOKCeT369tq76+u/sA+V2vTwp8e5R/z9emziFxTgFjiYVcqLbHQ==" saltValue="SmvBOFtr2+0S1ptt5Av2eA==" spinCount="100000" sheet="1" objects="1" scenarios="1"/>
  <mergeCells count="1">
    <mergeCell ref="E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446C-E39E-0E4F-8E7F-3538ED979403}">
  <dimension ref="B1:Z32"/>
  <sheetViews>
    <sheetView zoomScale="120" zoomScaleNormal="120" workbookViewId="0">
      <selection activeCell="H21" sqref="H21"/>
    </sheetView>
  </sheetViews>
  <sheetFormatPr baseColWidth="10" defaultRowHeight="15" x14ac:dyDescent="0.2"/>
  <cols>
    <col min="2" max="2" width="34.33203125" bestFit="1" customWidth="1"/>
    <col min="5" max="5" width="11.83203125" customWidth="1"/>
    <col min="9" max="9" width="12.6640625" bestFit="1" customWidth="1"/>
    <col min="10" max="10" width="11.1640625" bestFit="1" customWidth="1"/>
    <col min="18" max="18" width="10.83203125" customWidth="1"/>
    <col min="20" max="20" width="12.5" customWidth="1"/>
    <col min="21" max="21" width="13.1640625" customWidth="1"/>
    <col min="22" max="22" width="16.1640625" customWidth="1"/>
    <col min="24" max="24" width="16.33203125" bestFit="1" customWidth="1"/>
    <col min="25" max="25" width="13.83203125" customWidth="1"/>
    <col min="26" max="26" width="13.6640625" bestFit="1" customWidth="1"/>
  </cols>
  <sheetData>
    <row r="1" spans="2:26" ht="32" customHeight="1" x14ac:dyDescent="0.2">
      <c r="C1" s="186" t="s">
        <v>113</v>
      </c>
      <c r="D1" s="186"/>
      <c r="E1" s="186"/>
      <c r="F1" s="185" t="s">
        <v>17</v>
      </c>
      <c r="G1" s="185"/>
      <c r="H1" s="152" t="s">
        <v>121</v>
      </c>
      <c r="I1" s="185" t="s">
        <v>0</v>
      </c>
      <c r="J1" s="185"/>
      <c r="K1" s="181" t="s">
        <v>18</v>
      </c>
      <c r="L1" s="181"/>
      <c r="M1" s="185" t="s">
        <v>26</v>
      </c>
      <c r="N1" s="185"/>
      <c r="O1" s="185"/>
      <c r="P1" s="185"/>
      <c r="Q1" s="181" t="s">
        <v>27</v>
      </c>
      <c r="R1" s="181"/>
      <c r="S1" s="185" t="s">
        <v>103</v>
      </c>
      <c r="T1" s="185"/>
      <c r="U1" s="181" t="s">
        <v>125</v>
      </c>
      <c r="V1" s="181"/>
    </row>
    <row r="2" spans="2:26" s="20" customFormat="1" ht="64" x14ac:dyDescent="0.2">
      <c r="B2" s="25" t="s">
        <v>13</v>
      </c>
      <c r="C2" s="25" t="s">
        <v>82</v>
      </c>
      <c r="D2" s="25" t="s">
        <v>70</v>
      </c>
      <c r="E2" s="25" t="s">
        <v>112</v>
      </c>
      <c r="F2" s="25" t="s">
        <v>132</v>
      </c>
      <c r="G2" s="25" t="s">
        <v>133</v>
      </c>
      <c r="H2" s="25" t="s">
        <v>115</v>
      </c>
      <c r="I2" s="25" t="s">
        <v>67</v>
      </c>
      <c r="J2" s="25" t="s">
        <v>68</v>
      </c>
      <c r="K2" s="25" t="s">
        <v>19</v>
      </c>
      <c r="L2" s="25" t="s">
        <v>21</v>
      </c>
      <c r="M2" s="25" t="s">
        <v>25</v>
      </c>
      <c r="N2" s="25" t="s">
        <v>19</v>
      </c>
      <c r="O2" s="25" t="s">
        <v>20</v>
      </c>
      <c r="P2" s="25" t="s">
        <v>21</v>
      </c>
      <c r="Q2" s="25" t="s">
        <v>19</v>
      </c>
      <c r="R2" s="25" t="s">
        <v>20</v>
      </c>
      <c r="S2" s="151" t="s">
        <v>119</v>
      </c>
      <c r="T2" s="151" t="s">
        <v>103</v>
      </c>
      <c r="U2" s="151" t="s">
        <v>134</v>
      </c>
      <c r="V2" s="151" t="s">
        <v>135</v>
      </c>
      <c r="W2" s="151" t="s">
        <v>61</v>
      </c>
      <c r="X2" s="151" t="s">
        <v>124</v>
      </c>
      <c r="Y2" s="151" t="s">
        <v>123</v>
      </c>
    </row>
    <row r="3" spans="2:26" x14ac:dyDescent="0.2">
      <c r="B3" s="153" t="s">
        <v>1</v>
      </c>
      <c r="C3" s="154">
        <v>1489</v>
      </c>
      <c r="D3" s="154">
        <v>876.66666666666663</v>
      </c>
      <c r="E3" s="155">
        <v>2365.6666666666665</v>
      </c>
      <c r="F3" s="166">
        <v>5.3903088096690137E-2</v>
      </c>
      <c r="G3" s="166">
        <v>0.10276679841897234</v>
      </c>
      <c r="H3" s="37" t="s">
        <v>49</v>
      </c>
      <c r="I3" s="157">
        <v>1070837.6666666667</v>
      </c>
      <c r="J3" s="157">
        <v>187839.25</v>
      </c>
      <c r="K3" s="154">
        <v>1289.3333333333333</v>
      </c>
      <c r="L3" s="154">
        <v>111</v>
      </c>
      <c r="M3" s="154">
        <v>1256.3333333333333</v>
      </c>
      <c r="N3" s="154">
        <v>143</v>
      </c>
      <c r="O3" s="154">
        <v>25.666666666666664</v>
      </c>
      <c r="P3" s="154">
        <v>1</v>
      </c>
      <c r="Q3" s="154">
        <v>537</v>
      </c>
      <c r="R3" s="154">
        <v>53.666666666666664</v>
      </c>
      <c r="S3" s="156">
        <f>(M3+N3)/C3</f>
        <v>0.93978061338706065</v>
      </c>
      <c r="T3" s="158">
        <f>IF(S3&gt;'Model Costs and Assumptions'!$E$18,'Model Costs and Assumptions'!$D$18,IF('School Data'!S3&gt;'Model Costs and Assumptions'!$E$19,'Model Costs and Assumptions'!$D$19,IF('School Data'!S3&gt;'Model Costs and Assumptions'!$E$20,'Model Costs and Assumptions'!$D$20,1)*1)*1)</f>
        <v>1.5</v>
      </c>
      <c r="U3" s="166">
        <v>4.1220008544527752E-2</v>
      </c>
      <c r="V3" s="69">
        <v>4.6768123831388606E-2</v>
      </c>
      <c r="W3" s="156">
        <v>0.23094265182471452</v>
      </c>
      <c r="X3" s="159">
        <v>39493233.333333336</v>
      </c>
      <c r="Y3" s="160">
        <v>5935750</v>
      </c>
      <c r="Z3" s="6"/>
    </row>
    <row r="4" spans="2:26" x14ac:dyDescent="0.2">
      <c r="B4" s="38" t="s">
        <v>2</v>
      </c>
      <c r="C4" s="5">
        <v>4666.666666666667</v>
      </c>
      <c r="D4" s="5">
        <v>1672.6666666666667</v>
      </c>
      <c r="E4" s="161">
        <v>6339.3333333333339</v>
      </c>
      <c r="F4" s="167">
        <v>0.11843978114104389</v>
      </c>
      <c r="G4" s="167">
        <v>0</v>
      </c>
      <c r="H4" t="s">
        <v>49</v>
      </c>
      <c r="I4" s="162">
        <v>1429371.96</v>
      </c>
      <c r="J4" s="162">
        <v>245773.04</v>
      </c>
      <c r="K4" s="5">
        <v>3571</v>
      </c>
      <c r="L4" s="5">
        <v>178.33333333333334</v>
      </c>
      <c r="M4" s="5">
        <v>2068</v>
      </c>
      <c r="N4" s="5">
        <v>1150</v>
      </c>
      <c r="O4" s="5">
        <v>770</v>
      </c>
      <c r="P4" s="5">
        <v>369</v>
      </c>
      <c r="Q4" s="5">
        <v>99</v>
      </c>
      <c r="R4" s="5">
        <v>93.666666666666657</v>
      </c>
      <c r="S4" s="96">
        <f t="shared" ref="S4:S14" si="0">(M4+N4)/C4</f>
        <v>0.6895714285714285</v>
      </c>
      <c r="T4" s="163">
        <f>IF(S4&gt;'Model Costs and Assumptions'!$E$18,'Model Costs and Assumptions'!$D$18,IF('School Data'!S4&gt;'Model Costs and Assumptions'!$E$19,'Model Costs and Assumptions'!$D$19,IF('School Data'!S4&gt;'Model Costs and Assumptions'!$E$20,'Model Costs and Assumptions'!$D$20,1)*1)*1)</f>
        <v>1.3</v>
      </c>
      <c r="U4" s="167">
        <v>1.8950364982567022E-2</v>
      </c>
      <c r="V4" s="69">
        <v>0</v>
      </c>
      <c r="W4" s="96">
        <v>0.43572667998738024</v>
      </c>
      <c r="X4" s="164">
        <v>42979166.666666664</v>
      </c>
      <c r="Y4" s="35">
        <v>57840625</v>
      </c>
      <c r="Z4" s="6"/>
    </row>
    <row r="5" spans="2:26" x14ac:dyDescent="0.2">
      <c r="B5" s="38" t="s">
        <v>3</v>
      </c>
      <c r="C5" s="5">
        <v>2773.6666666666665</v>
      </c>
      <c r="D5" s="5">
        <v>1644.6666666666667</v>
      </c>
      <c r="E5" s="161">
        <v>4418.333333333333</v>
      </c>
      <c r="F5" s="167">
        <v>9.0693488013258286E-2</v>
      </c>
      <c r="G5" s="167">
        <v>1.6129032258064516E-3</v>
      </c>
      <c r="H5" t="s">
        <v>49</v>
      </c>
      <c r="I5" s="162">
        <v>578484.00008999999</v>
      </c>
      <c r="J5" s="162">
        <v>143924.76</v>
      </c>
      <c r="K5" s="5">
        <v>2256.6666666666665</v>
      </c>
      <c r="L5" s="5">
        <v>156.33333333333334</v>
      </c>
      <c r="M5" s="5">
        <v>1560.6666666666665</v>
      </c>
      <c r="N5" s="5">
        <v>431.33333333333331</v>
      </c>
      <c r="O5" s="5">
        <v>481.33333333333331</v>
      </c>
      <c r="P5" s="5">
        <v>243.66666666666666</v>
      </c>
      <c r="Q5" s="5">
        <v>525.66666666666663</v>
      </c>
      <c r="R5" s="5">
        <v>192.33333333333331</v>
      </c>
      <c r="S5" s="96">
        <f t="shared" si="0"/>
        <v>0.71818291070784757</v>
      </c>
      <c r="T5" s="163">
        <f>IF(S5&gt;'Model Costs and Assumptions'!$E$18,'Model Costs and Assumptions'!$D$18,IF('School Data'!S5&gt;'Model Costs and Assumptions'!$E$19,'Model Costs and Assumptions'!$D$19,IF('School Data'!S5&gt;'Model Costs and Assumptions'!$E$20,'Model Costs and Assumptions'!$D$20,1)*1)*1)</f>
        <v>1.3</v>
      </c>
      <c r="U5" s="167">
        <v>4.0776917091232406E-2</v>
      </c>
      <c r="V5" s="69">
        <v>4.4142614601018671E-4</v>
      </c>
      <c r="W5" s="96">
        <v>0.31494530365899664</v>
      </c>
      <c r="X5" s="164">
        <v>23966733.333333332</v>
      </c>
      <c r="Y5" s="35">
        <v>2259375</v>
      </c>
      <c r="Z5" s="6"/>
    </row>
    <row r="6" spans="2:26" x14ac:dyDescent="0.2">
      <c r="B6" s="38" t="s">
        <v>4</v>
      </c>
      <c r="C6" s="5">
        <v>17868.666666666668</v>
      </c>
      <c r="D6" s="5">
        <v>2556.6666666666665</v>
      </c>
      <c r="E6" s="161">
        <v>20425.333333333336</v>
      </c>
      <c r="F6" s="167">
        <v>0.19254976713889169</v>
      </c>
      <c r="G6" s="167">
        <v>1.1335726431135461E-3</v>
      </c>
      <c r="H6" t="s">
        <v>50</v>
      </c>
      <c r="I6" s="162">
        <v>2733804.7233333336</v>
      </c>
      <c r="J6" s="162">
        <v>678582.61</v>
      </c>
      <c r="K6" s="5">
        <v>8471.3333333333339</v>
      </c>
      <c r="L6" s="5">
        <v>406</v>
      </c>
      <c r="M6" s="5">
        <v>2196.6666666666665</v>
      </c>
      <c r="N6" s="5">
        <v>2778.6666666666665</v>
      </c>
      <c r="O6" s="5">
        <v>4696</v>
      </c>
      <c r="P6" s="5">
        <v>7220</v>
      </c>
      <c r="Q6" s="5">
        <v>189.33333333333331</v>
      </c>
      <c r="R6" s="5">
        <v>242</v>
      </c>
      <c r="S6" s="96">
        <f t="shared" si="0"/>
        <v>0.27843898071111439</v>
      </c>
      <c r="T6" s="163">
        <f>IF(S6&gt;'Model Costs and Assumptions'!$E$18,'Model Costs and Assumptions'!$D$18,IF('School Data'!S6&gt;'Model Costs and Assumptions'!$E$19,'Model Costs and Assumptions'!$D$19,IF('School Data'!S6&gt;'Model Costs and Assumptions'!$E$20,'Model Costs and Assumptions'!$D$20,1)*1)*1)</f>
        <v>1</v>
      </c>
      <c r="U6" s="167">
        <v>2.3786765695539336E-2</v>
      </c>
      <c r="V6" s="69">
        <v>3.4350686154955941E-5</v>
      </c>
      <c r="W6" s="96">
        <v>0.46920735687708071</v>
      </c>
      <c r="X6" s="164">
        <v>71966633.333333328</v>
      </c>
      <c r="Y6" s="35">
        <v>134397775</v>
      </c>
      <c r="Z6" s="6"/>
    </row>
    <row r="7" spans="2:26" x14ac:dyDescent="0.2">
      <c r="B7" s="38" t="s">
        <v>5</v>
      </c>
      <c r="C7" s="5">
        <v>4593</v>
      </c>
      <c r="D7" s="5">
        <v>1390</v>
      </c>
      <c r="E7" s="161">
        <v>5983</v>
      </c>
      <c r="F7" s="167">
        <v>0.1220752984389348</v>
      </c>
      <c r="G7" s="167">
        <v>0</v>
      </c>
      <c r="H7" t="s">
        <v>49</v>
      </c>
      <c r="I7" s="162">
        <v>1233938.8500000001</v>
      </c>
      <c r="J7" s="162">
        <v>162137.54999999999</v>
      </c>
      <c r="K7" s="5">
        <v>4092.3333333333335</v>
      </c>
      <c r="L7" s="5">
        <v>38.333333333333336</v>
      </c>
      <c r="M7" s="5">
        <v>2784.333333333333</v>
      </c>
      <c r="N7" s="5">
        <v>755.66666666666663</v>
      </c>
      <c r="O7" s="5">
        <v>746.33333333333326</v>
      </c>
      <c r="P7" s="5">
        <v>118.33333333333333</v>
      </c>
      <c r="Q7" s="5">
        <v>117.33333333333333</v>
      </c>
      <c r="R7" s="5">
        <v>425</v>
      </c>
      <c r="S7" s="96">
        <f t="shared" si="0"/>
        <v>0.77073807968647934</v>
      </c>
      <c r="T7" s="163">
        <f>IF(S7&gt;'Model Costs and Assumptions'!$E$18,'Model Costs and Assumptions'!$D$18,IF('School Data'!S7&gt;'Model Costs and Assumptions'!$E$19,'Model Costs and Assumptions'!$D$19,IF('School Data'!S7&gt;'Model Costs and Assumptions'!$E$20,'Model Costs and Assumptions'!$D$20,1)*1)*1)</f>
        <v>1.5</v>
      </c>
      <c r="U7" s="167">
        <v>4.3598320871048146E-2</v>
      </c>
      <c r="V7" s="69">
        <v>0</v>
      </c>
      <c r="W7" s="96">
        <v>0.24508607721878661</v>
      </c>
      <c r="X7" s="164">
        <v>36752500</v>
      </c>
      <c r="Y7" s="35">
        <v>11471225</v>
      </c>
      <c r="Z7" s="6"/>
    </row>
    <row r="8" spans="2:26" x14ac:dyDescent="0.2">
      <c r="B8" s="38" t="s">
        <v>6</v>
      </c>
      <c r="C8" s="5">
        <v>11796.333333333334</v>
      </c>
      <c r="D8" s="5">
        <v>4059.6666666666665</v>
      </c>
      <c r="E8" s="161">
        <v>15856</v>
      </c>
      <c r="F8" s="167">
        <v>0.19206786172995061</v>
      </c>
      <c r="G8" s="167">
        <v>7.9042457091237587E-3</v>
      </c>
      <c r="H8" t="s">
        <v>50</v>
      </c>
      <c r="I8" s="162">
        <v>3568426.69</v>
      </c>
      <c r="J8" s="162">
        <v>831092.30999999994</v>
      </c>
      <c r="K8" s="5">
        <v>7827</v>
      </c>
      <c r="L8" s="5">
        <v>512</v>
      </c>
      <c r="M8" s="5">
        <v>3407.6666666666665</v>
      </c>
      <c r="N8" s="5">
        <v>3124.333333333333</v>
      </c>
      <c r="O8" s="5">
        <v>2589</v>
      </c>
      <c r="P8" s="5">
        <v>1930.3333333333333</v>
      </c>
      <c r="Q8" s="5">
        <v>330</v>
      </c>
      <c r="R8" s="5">
        <v>514.66666666666663</v>
      </c>
      <c r="S8" s="96">
        <f t="shared" si="0"/>
        <v>0.55373138545875833</v>
      </c>
      <c r="T8" s="163">
        <f>IF(S8&gt;'Model Costs and Assumptions'!$E$18,'Model Costs and Assumptions'!$D$18,IF('School Data'!S8&gt;'Model Costs and Assumptions'!$E$19,'Model Costs and Assumptions'!$D$19,IF('School Data'!S8&gt;'Model Costs and Assumptions'!$E$20,'Model Costs and Assumptions'!$D$20,1)*1)*1)</f>
        <v>1.1000000000000001</v>
      </c>
      <c r="U8" s="167">
        <v>4.1478485033170184E-2</v>
      </c>
      <c r="V8" s="69">
        <v>1.9079213780643558E-3</v>
      </c>
      <c r="W8" s="96">
        <v>0.39292276320215269</v>
      </c>
      <c r="X8" s="164">
        <v>90757866.666666672</v>
      </c>
      <c r="Y8" s="35">
        <v>80502474.999999985</v>
      </c>
      <c r="Z8" s="6"/>
    </row>
    <row r="9" spans="2:26" x14ac:dyDescent="0.2">
      <c r="B9" s="38" t="s">
        <v>7</v>
      </c>
      <c r="C9" s="5">
        <v>8003.333333333333</v>
      </c>
      <c r="D9" s="5">
        <v>3097.6666666666665</v>
      </c>
      <c r="E9" s="161">
        <v>11101</v>
      </c>
      <c r="F9" s="167">
        <v>0.17115730709670357</v>
      </c>
      <c r="G9" s="167">
        <v>2.0282186948853614E-2</v>
      </c>
      <c r="H9" t="s">
        <v>50</v>
      </c>
      <c r="I9" s="162">
        <v>3676695.666666667</v>
      </c>
      <c r="J9" s="162">
        <v>1602392.3333333333</v>
      </c>
      <c r="K9" s="5">
        <v>5233.333333333333</v>
      </c>
      <c r="L9" s="5">
        <v>258.66666666666669</v>
      </c>
      <c r="M9" s="5">
        <v>2018</v>
      </c>
      <c r="N9" s="5">
        <v>1524</v>
      </c>
      <c r="O9" s="5">
        <v>2174.333333333333</v>
      </c>
      <c r="P9" s="5">
        <v>1473.6666666666665</v>
      </c>
      <c r="Q9" s="5">
        <v>354</v>
      </c>
      <c r="R9" s="5">
        <v>218</v>
      </c>
      <c r="S9" s="96">
        <f t="shared" si="0"/>
        <v>0.44256559766763848</v>
      </c>
      <c r="T9" s="163">
        <f>IF(S9&gt;'Model Costs and Assumptions'!$E$18,'Model Costs and Assumptions'!$D$18,IF('School Data'!S9&gt;'Model Costs and Assumptions'!$E$19,'Model Costs and Assumptions'!$D$19,IF('School Data'!S9&gt;'Model Costs and Assumptions'!$E$20,'Model Costs and Assumptions'!$D$20,1)*1)*1)</f>
        <v>1</v>
      </c>
      <c r="U9" s="167">
        <v>2.0724684366615464E-2</v>
      </c>
      <c r="V9" s="69">
        <v>2.7583774250440917E-3</v>
      </c>
      <c r="W9" s="96">
        <v>0.51315497102363139</v>
      </c>
      <c r="X9" s="164">
        <v>135660014.72931176</v>
      </c>
      <c r="Y9" s="35">
        <v>151086200</v>
      </c>
      <c r="Z9" s="6"/>
    </row>
    <row r="10" spans="2:26" x14ac:dyDescent="0.2">
      <c r="B10" s="38" t="s">
        <v>8</v>
      </c>
      <c r="C10" s="5">
        <v>9692.6666666666661</v>
      </c>
      <c r="D10" s="5">
        <v>2967.3333333333335</v>
      </c>
      <c r="E10" s="161">
        <v>12660</v>
      </c>
      <c r="F10" s="167">
        <v>0.22119045005805524</v>
      </c>
      <c r="G10" s="167">
        <v>4.2271293375394321E-2</v>
      </c>
      <c r="H10" t="s">
        <v>51</v>
      </c>
      <c r="I10" s="162">
        <v>2952325.0066666668</v>
      </c>
      <c r="J10" s="162">
        <v>473873.99333333335</v>
      </c>
      <c r="K10" s="5">
        <v>5542.666666666667</v>
      </c>
      <c r="L10" s="5">
        <v>355.33333333333331</v>
      </c>
      <c r="M10" s="5">
        <v>2981.333333333333</v>
      </c>
      <c r="N10" s="5">
        <v>2151.333333333333</v>
      </c>
      <c r="O10" s="5">
        <v>1944.3333333333333</v>
      </c>
      <c r="P10" s="5">
        <v>1770.3333333333333</v>
      </c>
      <c r="Q10" s="5">
        <v>287.33333333333331</v>
      </c>
      <c r="R10" s="5">
        <v>176.33333333333331</v>
      </c>
      <c r="S10" s="96">
        <f t="shared" si="0"/>
        <v>0.52954123392255315</v>
      </c>
      <c r="T10" s="163">
        <f>IF(S10&gt;'Model Costs and Assumptions'!$E$18,'Model Costs and Assumptions'!$D$18,IF('School Data'!S10&gt;'Model Costs and Assumptions'!$E$19,'Model Costs and Assumptions'!$D$19,IF('School Data'!S10&gt;'Model Costs and Assumptions'!$E$20,'Model Costs and Assumptions'!$D$20,1)*1)*1)</f>
        <v>1.1000000000000001</v>
      </c>
      <c r="U10" s="167">
        <v>2.42065853979197E-2</v>
      </c>
      <c r="V10" s="69">
        <v>4.4441702081710402E-3</v>
      </c>
      <c r="W10" s="96">
        <v>0.51662980516061074</v>
      </c>
      <c r="X10" s="164">
        <v>63543851.937354892</v>
      </c>
      <c r="Y10" s="35">
        <v>24999850</v>
      </c>
      <c r="Z10" s="6"/>
    </row>
    <row r="11" spans="2:26" x14ac:dyDescent="0.2">
      <c r="B11" s="38" t="s">
        <v>9</v>
      </c>
      <c r="C11" s="5">
        <v>21760</v>
      </c>
      <c r="D11" s="5">
        <v>11266</v>
      </c>
      <c r="E11" s="161">
        <v>33026</v>
      </c>
      <c r="F11" s="167">
        <v>0.22653149751779317</v>
      </c>
      <c r="G11" s="167">
        <v>9.2964244521337946E-2</v>
      </c>
      <c r="H11" t="s">
        <v>48</v>
      </c>
      <c r="I11" s="162">
        <v>7777922.8967000004</v>
      </c>
      <c r="J11" s="162">
        <v>2121454.7566333334</v>
      </c>
      <c r="K11" s="5">
        <v>14901</v>
      </c>
      <c r="L11" s="5">
        <v>452</v>
      </c>
      <c r="M11" s="5">
        <v>10070.666666666666</v>
      </c>
      <c r="N11" s="5">
        <v>3966</v>
      </c>
      <c r="O11" s="5">
        <v>3414.333333333333</v>
      </c>
      <c r="P11" s="5">
        <v>1579.6666666666665</v>
      </c>
      <c r="Q11" s="5">
        <v>1024</v>
      </c>
      <c r="R11" s="5">
        <v>1764.3333333333333</v>
      </c>
      <c r="S11" s="96">
        <f t="shared" si="0"/>
        <v>0.64506740196078427</v>
      </c>
      <c r="T11" s="163">
        <f>IF(S11&gt;'Model Costs and Assumptions'!$E$18,'Model Costs and Assumptions'!$D$18,IF('School Data'!S11&gt;'Model Costs and Assumptions'!$E$19,'Model Costs and Assumptions'!$D$19,IF('School Data'!S11&gt;'Model Costs and Assumptions'!$E$20,'Model Costs and Assumptions'!$D$20,1)*1)*1)</f>
        <v>1.3</v>
      </c>
      <c r="U11" s="167">
        <v>5.873038824535378E-2</v>
      </c>
      <c r="V11" s="69">
        <v>1.9698743262885735E-2</v>
      </c>
      <c r="W11" s="96">
        <v>0.42111921920103357</v>
      </c>
      <c r="X11" s="164">
        <v>252840398.47202086</v>
      </c>
      <c r="Y11" s="35">
        <v>391193509.85662204</v>
      </c>
      <c r="Z11" s="6"/>
    </row>
    <row r="12" spans="2:26" x14ac:dyDescent="0.2">
      <c r="B12" s="38" t="s">
        <v>10</v>
      </c>
      <c r="C12" s="5">
        <v>2456.3333333333335</v>
      </c>
      <c r="D12" s="5">
        <v>1480.3333333333333</v>
      </c>
      <c r="E12" s="161">
        <v>3936.666666666667</v>
      </c>
      <c r="F12" s="167">
        <v>6.0213872712577457E-2</v>
      </c>
      <c r="G12" s="167">
        <v>0</v>
      </c>
      <c r="H12" t="s">
        <v>49</v>
      </c>
      <c r="I12" s="162">
        <v>867451.32000000007</v>
      </c>
      <c r="J12" s="162">
        <v>107868.67999999998</v>
      </c>
      <c r="K12" s="5">
        <v>1719</v>
      </c>
      <c r="L12" s="5">
        <v>63.666666666666664</v>
      </c>
      <c r="M12" s="5">
        <v>607.66666666666663</v>
      </c>
      <c r="N12" s="5">
        <v>499.66666666666663</v>
      </c>
      <c r="O12" s="5">
        <v>729.33333333333326</v>
      </c>
      <c r="P12" s="5">
        <v>495.66666666666663</v>
      </c>
      <c r="Q12" s="5">
        <v>161.33333333333331</v>
      </c>
      <c r="R12" s="5">
        <v>109.66666666666666</v>
      </c>
      <c r="S12" s="96">
        <f t="shared" si="0"/>
        <v>0.45080743655855604</v>
      </c>
      <c r="T12" s="163">
        <f>IF(S12&gt;'Model Costs and Assumptions'!$E$18,'Model Costs and Assumptions'!$D$18,IF('School Data'!S12&gt;'Model Costs and Assumptions'!$E$19,'Model Costs and Assumptions'!$D$19,IF('School Data'!S12&gt;'Model Costs and Assumptions'!$E$20,'Model Costs and Assumptions'!$D$20,1)*1)*1)</f>
        <v>1</v>
      </c>
      <c r="U12" s="167">
        <v>1.1150717168995825E-2</v>
      </c>
      <c r="V12" s="69">
        <v>0</v>
      </c>
      <c r="W12" s="96">
        <v>0.51118966977138025</v>
      </c>
      <c r="X12" s="164">
        <v>24934641.605156694</v>
      </c>
      <c r="Y12" s="35">
        <v>20616544.093751539</v>
      </c>
      <c r="Z12" s="6"/>
    </row>
    <row r="13" spans="2:26" x14ac:dyDescent="0.2">
      <c r="B13" s="38" t="s">
        <v>11</v>
      </c>
      <c r="C13" s="5">
        <v>33640.333333333336</v>
      </c>
      <c r="D13" s="5">
        <v>19999.333333333332</v>
      </c>
      <c r="E13" s="161">
        <v>53639.666666666672</v>
      </c>
      <c r="F13" s="167">
        <v>0.22853491955974525</v>
      </c>
      <c r="G13" s="167">
        <v>2.0785699438786114E-4</v>
      </c>
      <c r="H13" t="s">
        <v>48</v>
      </c>
      <c r="I13" s="162">
        <v>11193988.2272</v>
      </c>
      <c r="J13" s="162">
        <v>4180875.7727999999</v>
      </c>
      <c r="K13" s="5">
        <v>12338.333333333334</v>
      </c>
      <c r="L13" s="5">
        <v>548</v>
      </c>
      <c r="M13" s="5">
        <v>3037</v>
      </c>
      <c r="N13" s="5">
        <v>4806.333333333333</v>
      </c>
      <c r="O13" s="5">
        <v>6842.333333333333</v>
      </c>
      <c r="P13" s="5">
        <v>1297.3333333333333</v>
      </c>
      <c r="Q13" s="5">
        <v>871.66666666666663</v>
      </c>
      <c r="R13" s="5">
        <v>1751</v>
      </c>
      <c r="S13" s="96">
        <f t="shared" si="0"/>
        <v>0.23315266396488341</v>
      </c>
      <c r="T13" s="163">
        <f>IF(S13&gt;'Model Costs and Assumptions'!$E$18,'Model Costs and Assumptions'!$D$18,IF('School Data'!S13&gt;'Model Costs and Assumptions'!$E$19,'Model Costs and Assumptions'!$D$19,IF('School Data'!S13&gt;'Model Costs and Assumptions'!$E$20,'Model Costs and Assumptions'!$D$20,1)*1)*1)</f>
        <v>1</v>
      </c>
      <c r="U13" s="167">
        <v>2.0618295370738327E-2</v>
      </c>
      <c r="V13" s="69">
        <v>2.41059533972793E-5</v>
      </c>
      <c r="W13" s="96">
        <v>0.65078238119799403</v>
      </c>
      <c r="X13" s="164">
        <v>308098926.5894891</v>
      </c>
      <c r="Y13" s="35">
        <v>1908771421.0496299</v>
      </c>
      <c r="Z13" s="6"/>
    </row>
    <row r="14" spans="2:26" x14ac:dyDescent="0.2">
      <c r="B14" s="38" t="s">
        <v>12</v>
      </c>
      <c r="C14" s="5">
        <v>5398.666666666667</v>
      </c>
      <c r="D14" s="5">
        <v>1991</v>
      </c>
      <c r="E14" s="161">
        <v>7389.666666666667</v>
      </c>
      <c r="F14" s="167">
        <v>0.14634804784103125</v>
      </c>
      <c r="G14" s="167">
        <v>0</v>
      </c>
      <c r="H14" t="s">
        <v>49</v>
      </c>
      <c r="I14" s="162">
        <v>2053815.1</v>
      </c>
      <c r="J14" s="162">
        <v>345488.65</v>
      </c>
      <c r="K14" s="5">
        <v>3978.3333333333335</v>
      </c>
      <c r="L14" s="5">
        <v>197.33333333333334</v>
      </c>
      <c r="M14" s="5">
        <v>1921</v>
      </c>
      <c r="N14" s="5">
        <v>1941.6666666666665</v>
      </c>
      <c r="O14" s="5">
        <v>784.33333333333326</v>
      </c>
      <c r="P14" s="5">
        <v>419</v>
      </c>
      <c r="Q14" s="5">
        <v>136.33333333333331</v>
      </c>
      <c r="R14" s="5">
        <v>133.66666666666666</v>
      </c>
      <c r="S14" s="96">
        <f t="shared" si="0"/>
        <v>0.71548530501358354</v>
      </c>
      <c r="T14" s="163">
        <f>IF(S14&gt;'Model Costs and Assumptions'!$E$18,'Model Costs and Assumptions'!$D$18,IF('School Data'!S14&gt;'Model Costs and Assumptions'!$E$19,'Model Costs and Assumptions'!$D$19,IF('School Data'!S14&gt;'Model Costs and Assumptions'!$E$20,'Model Costs and Assumptions'!$D$20,1)*1)*1)</f>
        <v>1.3</v>
      </c>
      <c r="U14" s="167">
        <v>2.7997017847849456E-2</v>
      </c>
      <c r="V14" s="69">
        <v>0</v>
      </c>
      <c r="W14" s="96">
        <v>0.45251928368442407</v>
      </c>
      <c r="X14" s="164">
        <v>51250933.333333336</v>
      </c>
      <c r="Y14" s="35">
        <v>57331475</v>
      </c>
      <c r="Z14" s="6"/>
    </row>
    <row r="15" spans="2:26" ht="16" x14ac:dyDescent="0.2">
      <c r="B15" s="39" t="s">
        <v>23</v>
      </c>
      <c r="C15" s="165">
        <f>SUM(C3:C14)</f>
        <v>124138.66666666667</v>
      </c>
      <c r="D15" s="165">
        <f>SUM(D3:D14)</f>
        <v>53002</v>
      </c>
      <c r="E15" s="165">
        <f>SUM(E3:E14)</f>
        <v>177140.66666666666</v>
      </c>
      <c r="F15" s="169">
        <v>0.19288246904931344</v>
      </c>
      <c r="G15" s="169">
        <v>2.3122715404699738E-2</v>
      </c>
      <c r="H15" s="19"/>
      <c r="I15" s="165">
        <v>39137062.107323341</v>
      </c>
      <c r="J15" s="165">
        <v>11081303.7061</v>
      </c>
      <c r="K15" s="165">
        <f t="shared" ref="K15:R15" si="1">SUM(K3:K14)</f>
        <v>71220.333333333328</v>
      </c>
      <c r="L15" s="165">
        <f t="shared" si="1"/>
        <v>3277</v>
      </c>
      <c r="M15" s="165">
        <f t="shared" si="1"/>
        <v>33909.333333333328</v>
      </c>
      <c r="N15" s="165">
        <f t="shared" si="1"/>
        <v>23272</v>
      </c>
      <c r="O15" s="165">
        <f t="shared" si="1"/>
        <v>25197.333333333328</v>
      </c>
      <c r="P15" s="165">
        <f t="shared" si="1"/>
        <v>16918</v>
      </c>
      <c r="Q15" s="165">
        <f t="shared" si="1"/>
        <v>4633</v>
      </c>
      <c r="R15" s="165">
        <f t="shared" si="1"/>
        <v>5674.333333333333</v>
      </c>
      <c r="S15" s="97">
        <f>(M15+N15)/C15</f>
        <v>0.46062467777968719</v>
      </c>
      <c r="T15" s="97"/>
      <c r="U15" s="170"/>
      <c r="V15" s="173"/>
      <c r="W15" s="97">
        <v>0.4989784954330081</v>
      </c>
      <c r="X15" s="36">
        <f>SUM(X3:X14)</f>
        <v>1142244899.9999998</v>
      </c>
      <c r="Y15" s="40">
        <v>2846406225.0000033</v>
      </c>
      <c r="Z15" s="8"/>
    </row>
    <row r="18" spans="2:3" x14ac:dyDescent="0.2">
      <c r="B18" s="174" t="s">
        <v>138</v>
      </c>
      <c r="C18" s="174" t="s">
        <v>137</v>
      </c>
    </row>
    <row r="19" spans="2:3" x14ac:dyDescent="0.2">
      <c r="B19" t="s">
        <v>136</v>
      </c>
      <c r="C19" t="s">
        <v>139</v>
      </c>
    </row>
    <row r="20" spans="2:3" x14ac:dyDescent="0.2">
      <c r="B20" t="s">
        <v>140</v>
      </c>
      <c r="C20" t="s">
        <v>148</v>
      </c>
    </row>
    <row r="21" spans="2:3" x14ac:dyDescent="0.2">
      <c r="B21" t="s">
        <v>133</v>
      </c>
      <c r="C21" t="s">
        <v>153</v>
      </c>
    </row>
    <row r="22" spans="2:3" x14ac:dyDescent="0.2">
      <c r="B22" t="s">
        <v>115</v>
      </c>
      <c r="C22" t="s">
        <v>141</v>
      </c>
    </row>
    <row r="23" spans="2:3" x14ac:dyDescent="0.2">
      <c r="B23" t="s">
        <v>142</v>
      </c>
      <c r="C23" t="s">
        <v>143</v>
      </c>
    </row>
    <row r="24" spans="2:3" x14ac:dyDescent="0.2">
      <c r="B24" t="s">
        <v>144</v>
      </c>
      <c r="C24" s="184" t="s">
        <v>145</v>
      </c>
    </row>
    <row r="25" spans="2:3" x14ac:dyDescent="0.2">
      <c r="B25" s="175" t="s">
        <v>18</v>
      </c>
      <c r="C25" s="184"/>
    </row>
    <row r="26" spans="2:3" x14ac:dyDescent="0.2">
      <c r="B26" s="175" t="s">
        <v>86</v>
      </c>
      <c r="C26" s="184"/>
    </row>
    <row r="27" spans="2:3" x14ac:dyDescent="0.2">
      <c r="B27" s="175" t="s">
        <v>103</v>
      </c>
      <c r="C27" s="184"/>
    </row>
    <row r="28" spans="2:3" x14ac:dyDescent="0.2">
      <c r="B28" t="s">
        <v>146</v>
      </c>
      <c r="C28" t="s">
        <v>152</v>
      </c>
    </row>
    <row r="29" spans="2:3" x14ac:dyDescent="0.2">
      <c r="B29" t="s">
        <v>147</v>
      </c>
      <c r="C29" t="s">
        <v>152</v>
      </c>
    </row>
    <row r="30" spans="2:3" x14ac:dyDescent="0.2">
      <c r="B30" t="s">
        <v>61</v>
      </c>
      <c r="C30" t="s">
        <v>145</v>
      </c>
    </row>
    <row r="31" spans="2:3" x14ac:dyDescent="0.2">
      <c r="B31" t="s">
        <v>150</v>
      </c>
      <c r="C31" t="s">
        <v>149</v>
      </c>
    </row>
    <row r="32" spans="2:3" x14ac:dyDescent="0.2">
      <c r="B32" t="s">
        <v>151</v>
      </c>
      <c r="C32" t="s">
        <v>141</v>
      </c>
    </row>
  </sheetData>
  <sheetProtection algorithmName="SHA-512" hashValue="h1pViNdeMCQvabAyswUCYeKLnyeoKLXu3ODy0nBjdmE9vUzzLVaQHhUZvL+ORxvYRByZXsD1L0SY1ehVCMngjQ==" saltValue="fzoaChv3GCwH+E61qAEKFQ==" spinCount="100000" sheet="1" objects="1" scenarios="1"/>
  <mergeCells count="9">
    <mergeCell ref="C24:C27"/>
    <mergeCell ref="U1:V1"/>
    <mergeCell ref="S1:T1"/>
    <mergeCell ref="C1:E1"/>
    <mergeCell ref="K1:L1"/>
    <mergeCell ref="M1:P1"/>
    <mergeCell ref="Q1:R1"/>
    <mergeCell ref="I1:J1"/>
    <mergeCell ref="F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4F16-C060-274B-AC77-C2A72ECBD13A}">
  <dimension ref="A1:L63"/>
  <sheetViews>
    <sheetView zoomScale="140" zoomScaleNormal="140" workbookViewId="0">
      <selection activeCell="F29" sqref="F29"/>
    </sheetView>
  </sheetViews>
  <sheetFormatPr baseColWidth="10" defaultRowHeight="15" x14ac:dyDescent="0.2"/>
  <cols>
    <col min="2" max="2" width="21.6640625" bestFit="1" customWidth="1"/>
    <col min="3" max="3" width="12.83203125" bestFit="1" customWidth="1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x14ac:dyDescent="0.2">
      <c r="A2" s="82"/>
      <c r="B2" s="113"/>
      <c r="C2" s="113"/>
      <c r="D2" s="113"/>
      <c r="E2" s="113"/>
      <c r="F2" s="82"/>
      <c r="G2" s="82"/>
      <c r="H2" s="82"/>
      <c r="I2" s="82"/>
      <c r="J2" s="82"/>
      <c r="K2" s="82"/>
      <c r="L2" s="82"/>
    </row>
    <row r="3" spans="1:12" x14ac:dyDescent="0.2">
      <c r="A3" s="82"/>
      <c r="B3" s="113" t="s">
        <v>104</v>
      </c>
      <c r="C3" s="113" t="s">
        <v>41</v>
      </c>
      <c r="D3" s="82"/>
      <c r="E3" s="82"/>
      <c r="F3" s="82"/>
      <c r="G3" s="82"/>
      <c r="H3" s="82"/>
      <c r="I3" s="82"/>
      <c r="J3" s="82"/>
      <c r="K3" s="82"/>
      <c r="L3" s="82"/>
    </row>
    <row r="4" spans="1:12" x14ac:dyDescent="0.2">
      <c r="A4" s="82"/>
      <c r="B4" s="82" t="s">
        <v>46</v>
      </c>
      <c r="C4" s="111">
        <v>3332.78</v>
      </c>
      <c r="D4" s="146"/>
      <c r="E4" s="146"/>
      <c r="F4" s="146"/>
      <c r="G4" s="82"/>
      <c r="H4" s="82"/>
      <c r="I4" s="82"/>
      <c r="J4" s="82"/>
      <c r="K4" s="82"/>
      <c r="L4" s="82"/>
    </row>
    <row r="5" spans="1:12" x14ac:dyDescent="0.2">
      <c r="A5" s="82"/>
      <c r="B5" s="82" t="s">
        <v>14</v>
      </c>
      <c r="C5" s="111">
        <v>10705.860274734934</v>
      </c>
      <c r="D5" s="146"/>
      <c r="E5" s="146"/>
      <c r="F5" s="146"/>
      <c r="G5" s="82"/>
      <c r="H5" s="82"/>
      <c r="I5" s="82"/>
      <c r="J5" s="82"/>
      <c r="K5" s="82"/>
      <c r="L5" s="82"/>
    </row>
    <row r="6" spans="1:12" x14ac:dyDescent="0.2">
      <c r="A6" s="82"/>
      <c r="B6" s="82" t="s">
        <v>15</v>
      </c>
      <c r="C6" s="111">
        <v>800</v>
      </c>
      <c r="D6" s="146"/>
      <c r="E6" s="146"/>
      <c r="F6" s="146"/>
      <c r="G6" s="82"/>
      <c r="H6" s="82"/>
      <c r="I6" s="82"/>
      <c r="J6" s="82"/>
      <c r="K6" s="82"/>
      <c r="L6" s="82"/>
    </row>
    <row r="7" spans="1:12" x14ac:dyDescent="0.2">
      <c r="A7" s="82"/>
      <c r="B7" s="82" t="s">
        <v>38</v>
      </c>
      <c r="C7" s="111">
        <v>1941.27</v>
      </c>
      <c r="D7" s="146"/>
      <c r="E7" s="146"/>
      <c r="F7" s="146"/>
      <c r="G7" s="82"/>
      <c r="H7" s="82"/>
      <c r="I7" s="82"/>
      <c r="J7" s="82"/>
      <c r="K7" s="82"/>
      <c r="L7" s="82"/>
    </row>
    <row r="8" spans="1:12" x14ac:dyDescent="0.2">
      <c r="A8" s="82"/>
      <c r="B8" s="82" t="s">
        <v>105</v>
      </c>
      <c r="C8" s="111">
        <v>5.12</v>
      </c>
      <c r="D8" s="146"/>
      <c r="E8" s="146"/>
      <c r="F8" s="146"/>
      <c r="G8" s="82"/>
      <c r="H8" s="82"/>
      <c r="I8" s="82"/>
      <c r="J8" s="82"/>
      <c r="K8" s="82"/>
      <c r="L8" s="82"/>
    </row>
    <row r="9" spans="1:12" x14ac:dyDescent="0.2">
      <c r="A9" s="82"/>
      <c r="B9" s="82" t="s">
        <v>106</v>
      </c>
      <c r="C9" s="111">
        <v>2.66</v>
      </c>
      <c r="D9" s="146"/>
      <c r="E9" s="146"/>
      <c r="F9" s="146"/>
      <c r="G9" s="82"/>
      <c r="H9" s="82"/>
      <c r="I9" s="82"/>
      <c r="J9" s="82"/>
      <c r="K9" s="82"/>
      <c r="L9" s="82"/>
    </row>
    <row r="10" spans="1:12" x14ac:dyDescent="0.2">
      <c r="A10" s="82"/>
      <c r="B10" s="82"/>
      <c r="C10" s="82"/>
      <c r="D10" s="146"/>
      <c r="E10" s="146"/>
      <c r="F10" s="146"/>
      <c r="G10" s="82"/>
      <c r="H10" s="82"/>
      <c r="I10" s="82"/>
      <c r="J10" s="82"/>
      <c r="K10" s="82"/>
      <c r="L10" s="82"/>
    </row>
    <row r="11" spans="1:12" x14ac:dyDescent="0.2">
      <c r="A11" s="82"/>
      <c r="B11" s="113" t="s">
        <v>107</v>
      </c>
      <c r="C11" s="113" t="s">
        <v>128</v>
      </c>
      <c r="D11" s="172" t="s">
        <v>129</v>
      </c>
      <c r="E11" s="172" t="s">
        <v>120</v>
      </c>
      <c r="F11" s="146"/>
      <c r="G11" s="82"/>
      <c r="H11" s="82"/>
      <c r="I11" s="82"/>
      <c r="J11" s="82"/>
      <c r="K11" s="82"/>
      <c r="L11" s="82"/>
    </row>
    <row r="12" spans="1:12" x14ac:dyDescent="0.2">
      <c r="A12" s="82"/>
      <c r="B12" s="82" t="s">
        <v>18</v>
      </c>
      <c r="C12" s="82" t="s">
        <v>20</v>
      </c>
      <c r="D12" s="111">
        <v>1000</v>
      </c>
      <c r="E12" s="146"/>
      <c r="F12" s="146"/>
      <c r="G12" s="82"/>
      <c r="H12" s="82"/>
      <c r="I12" s="82"/>
      <c r="J12" s="82"/>
      <c r="K12" s="82"/>
      <c r="L12" s="82"/>
    </row>
    <row r="13" spans="1:12" x14ac:dyDescent="0.2">
      <c r="A13" s="82"/>
      <c r="B13" s="82"/>
      <c r="C13" s="82" t="s">
        <v>21</v>
      </c>
      <c r="D13" s="111">
        <v>500</v>
      </c>
      <c r="E13" s="146"/>
      <c r="F13" s="146"/>
      <c r="G13" s="82"/>
      <c r="H13" s="82"/>
      <c r="I13" s="82"/>
      <c r="J13" s="82"/>
      <c r="K13" s="82"/>
      <c r="L13" s="82"/>
    </row>
    <row r="14" spans="1:12" x14ac:dyDescent="0.2">
      <c r="A14" s="82"/>
      <c r="B14" s="82" t="s">
        <v>86</v>
      </c>
      <c r="C14" s="82" t="s">
        <v>25</v>
      </c>
      <c r="D14" s="111">
        <v>8000</v>
      </c>
      <c r="E14" s="146"/>
      <c r="F14" s="146"/>
      <c r="G14" s="82"/>
      <c r="H14" s="82"/>
      <c r="I14" s="82"/>
      <c r="J14" s="82"/>
      <c r="K14" s="82"/>
      <c r="L14" s="82"/>
    </row>
    <row r="15" spans="1:12" x14ac:dyDescent="0.2">
      <c r="A15" s="82"/>
      <c r="B15" s="82"/>
      <c r="C15" s="82" t="s">
        <v>19</v>
      </c>
      <c r="D15" s="111">
        <v>6000</v>
      </c>
      <c r="E15" s="82"/>
      <c r="F15" s="82"/>
      <c r="G15" s="82"/>
      <c r="H15" s="82"/>
      <c r="I15" s="82"/>
      <c r="J15" s="82"/>
      <c r="K15" s="82"/>
      <c r="L15" s="82"/>
    </row>
    <row r="16" spans="1:12" x14ac:dyDescent="0.2">
      <c r="A16" s="82"/>
      <c r="B16" s="82"/>
      <c r="C16" s="82" t="s">
        <v>20</v>
      </c>
      <c r="D16" s="111">
        <v>4000</v>
      </c>
      <c r="E16" s="82"/>
      <c r="F16" s="82"/>
      <c r="G16" s="82"/>
      <c r="H16" s="82"/>
      <c r="I16" s="82"/>
      <c r="J16" s="82"/>
      <c r="K16" s="82"/>
      <c r="L16" s="82"/>
    </row>
    <row r="17" spans="1:12" x14ac:dyDescent="0.2">
      <c r="A17" s="82"/>
      <c r="B17" s="82"/>
      <c r="C17" s="82" t="s">
        <v>21</v>
      </c>
      <c r="D17" s="111">
        <v>2000</v>
      </c>
      <c r="E17" s="82"/>
      <c r="F17" s="82"/>
      <c r="G17" s="82"/>
      <c r="H17" s="82"/>
      <c r="I17" s="82"/>
      <c r="J17" s="82"/>
      <c r="K17" s="82"/>
      <c r="L17" s="82"/>
    </row>
    <row r="18" spans="1:12" x14ac:dyDescent="0.2">
      <c r="A18" s="82"/>
      <c r="B18" s="82" t="s">
        <v>60</v>
      </c>
      <c r="C18" s="82" t="s">
        <v>19</v>
      </c>
      <c r="D18" s="149">
        <v>1.5</v>
      </c>
      <c r="E18" s="143">
        <v>0.75</v>
      </c>
      <c r="F18" s="82"/>
      <c r="G18" s="82"/>
      <c r="H18" s="82"/>
      <c r="I18" s="82"/>
      <c r="J18" s="82"/>
      <c r="K18" s="82"/>
      <c r="L18" s="82"/>
    </row>
    <row r="19" spans="1:12" x14ac:dyDescent="0.2">
      <c r="A19" s="82"/>
      <c r="B19" s="82"/>
      <c r="C19" s="82" t="s">
        <v>20</v>
      </c>
      <c r="D19" s="149">
        <v>1.3</v>
      </c>
      <c r="E19" s="143">
        <v>0.6</v>
      </c>
      <c r="F19" s="82"/>
      <c r="G19" s="82"/>
      <c r="H19" s="82"/>
      <c r="I19" s="82"/>
      <c r="J19" s="82"/>
      <c r="K19" s="82"/>
      <c r="L19" s="82"/>
    </row>
    <row r="20" spans="1:12" x14ac:dyDescent="0.2">
      <c r="A20" s="82"/>
      <c r="B20" s="82"/>
      <c r="C20" s="82" t="s">
        <v>21</v>
      </c>
      <c r="D20" s="149">
        <v>1.1000000000000001</v>
      </c>
      <c r="E20" s="143">
        <v>0.5</v>
      </c>
      <c r="F20" s="82"/>
      <c r="G20" s="82"/>
      <c r="H20" s="82"/>
      <c r="I20" s="82"/>
      <c r="J20" s="82"/>
      <c r="K20" s="82"/>
      <c r="L20" s="82"/>
    </row>
    <row r="21" spans="1:12" x14ac:dyDescent="0.2">
      <c r="A21" s="82"/>
      <c r="B21" s="82" t="s">
        <v>14</v>
      </c>
      <c r="C21" s="82" t="s">
        <v>56</v>
      </c>
      <c r="D21" s="143">
        <v>0.2</v>
      </c>
      <c r="E21" s="82"/>
      <c r="F21" s="82"/>
      <c r="G21" s="82"/>
      <c r="H21" s="82"/>
      <c r="I21" s="82"/>
      <c r="J21" s="82"/>
      <c r="K21" s="82"/>
      <c r="L21" s="82"/>
    </row>
    <row r="22" spans="1:12" x14ac:dyDescent="0.2">
      <c r="A22" s="82"/>
      <c r="C22" s="82" t="s">
        <v>114</v>
      </c>
      <c r="D22" s="143">
        <v>1</v>
      </c>
      <c r="E22" s="82"/>
      <c r="F22" s="82"/>
      <c r="G22" s="82"/>
      <c r="H22" s="82"/>
      <c r="I22" s="82"/>
      <c r="J22" s="82"/>
      <c r="K22" s="82"/>
      <c r="L22" s="82"/>
    </row>
    <row r="23" spans="1:12" x14ac:dyDescent="0.2">
      <c r="A23" s="82"/>
      <c r="C23" s="82" t="s">
        <v>108</v>
      </c>
      <c r="D23" s="111">
        <v>422</v>
      </c>
      <c r="E23" s="82"/>
      <c r="F23" s="82"/>
      <c r="G23" s="82"/>
      <c r="H23" s="82"/>
      <c r="I23" s="82"/>
      <c r="J23" s="82"/>
      <c r="K23" s="82"/>
      <c r="L23" s="82"/>
    </row>
    <row r="24" spans="1:12" x14ac:dyDescent="0.2">
      <c r="A24" s="82"/>
      <c r="B24" s="82" t="s">
        <v>116</v>
      </c>
      <c r="C24" s="82" t="s">
        <v>56</v>
      </c>
      <c r="D24" s="143">
        <v>0.5</v>
      </c>
      <c r="E24" s="82"/>
      <c r="F24" s="82"/>
      <c r="G24" s="82"/>
      <c r="H24" s="82"/>
      <c r="I24" s="82"/>
      <c r="J24" s="82"/>
      <c r="K24" s="82"/>
      <c r="L24" s="82"/>
    </row>
    <row r="25" spans="1:12" x14ac:dyDescent="0.2">
      <c r="A25" s="82"/>
      <c r="B25" s="82"/>
      <c r="C25" s="82" t="s">
        <v>114</v>
      </c>
      <c r="D25" s="143">
        <v>0.3</v>
      </c>
      <c r="E25" s="82"/>
      <c r="F25" s="82"/>
      <c r="G25" s="82"/>
      <c r="H25" s="82"/>
      <c r="I25" s="82"/>
      <c r="J25" s="82"/>
      <c r="K25" s="82"/>
      <c r="L25" s="82"/>
    </row>
    <row r="26" spans="1:12" x14ac:dyDescent="0.2">
      <c r="A26" s="82"/>
      <c r="B26" s="82" t="s">
        <v>15</v>
      </c>
      <c r="C26" s="82" t="s">
        <v>109</v>
      </c>
      <c r="D26" s="111">
        <v>600</v>
      </c>
      <c r="E26" s="82"/>
      <c r="F26" s="82"/>
      <c r="G26" s="82"/>
      <c r="H26" s="82"/>
      <c r="I26" s="82"/>
      <c r="J26" s="82"/>
      <c r="K26" s="82"/>
      <c r="L26" s="82"/>
    </row>
    <row r="27" spans="1:12" x14ac:dyDescent="0.2">
      <c r="A27" s="82"/>
      <c r="B27" s="82"/>
      <c r="C27" s="82" t="s">
        <v>48</v>
      </c>
      <c r="D27" s="111">
        <v>1200</v>
      </c>
      <c r="E27" s="82"/>
      <c r="F27" s="82"/>
      <c r="G27" s="82"/>
      <c r="H27" s="82"/>
      <c r="I27" s="82"/>
      <c r="J27" s="82"/>
      <c r="K27" s="82"/>
      <c r="L27" s="82"/>
    </row>
    <row r="28" spans="1:12" x14ac:dyDescent="0.2">
      <c r="A28" s="82"/>
      <c r="B28" s="82" t="s">
        <v>66</v>
      </c>
      <c r="C28" s="82"/>
      <c r="D28" s="148" t="s">
        <v>111</v>
      </c>
      <c r="E28" s="82"/>
      <c r="F28" s="82"/>
      <c r="G28" s="82"/>
      <c r="H28" s="82"/>
      <c r="I28" s="82"/>
      <c r="J28" s="82"/>
      <c r="K28" s="82"/>
      <c r="L28" s="82"/>
    </row>
    <row r="29" spans="1:12" x14ac:dyDescent="0.2">
      <c r="A29" s="82"/>
      <c r="B29" s="82" t="s">
        <v>81</v>
      </c>
      <c r="C29" s="82" t="s">
        <v>110</v>
      </c>
      <c r="D29" s="171">
        <v>1.54</v>
      </c>
      <c r="E29" s="82"/>
      <c r="F29" s="82"/>
      <c r="G29" s="82"/>
      <c r="H29" s="82"/>
      <c r="I29" s="82"/>
      <c r="J29" s="82"/>
      <c r="K29" s="82"/>
      <c r="L29" s="82"/>
    </row>
    <row r="30" spans="1:12" x14ac:dyDescent="0.2">
      <c r="A30" s="82"/>
      <c r="B30" s="82"/>
      <c r="C30" s="82"/>
      <c r="D30" s="146"/>
      <c r="E30" s="82"/>
      <c r="F30" s="82"/>
      <c r="G30" s="82"/>
      <c r="H30" s="82"/>
      <c r="I30" s="82"/>
      <c r="J30" s="82"/>
      <c r="K30" s="82"/>
      <c r="L30" s="82"/>
    </row>
    <row r="31" spans="1:12" x14ac:dyDescent="0.2">
      <c r="A31" s="82"/>
      <c r="B31" s="113" t="s">
        <v>52</v>
      </c>
      <c r="C31" s="82"/>
      <c r="D31" s="146"/>
      <c r="E31" s="82"/>
      <c r="F31" s="82"/>
      <c r="G31" s="82"/>
      <c r="H31" s="82"/>
      <c r="I31" s="82"/>
      <c r="J31" s="82"/>
      <c r="K31" s="82"/>
      <c r="L31" s="82"/>
    </row>
    <row r="32" spans="1:12" x14ac:dyDescent="0.2">
      <c r="A32" s="82"/>
      <c r="B32" s="82" t="s">
        <v>122</v>
      </c>
      <c r="C32" s="82"/>
      <c r="D32" s="150">
        <v>4.2000000000000003E-2</v>
      </c>
      <c r="E32" s="82"/>
      <c r="F32" s="82"/>
      <c r="G32" s="82"/>
      <c r="H32" s="82"/>
      <c r="I32" s="82"/>
      <c r="J32" s="82"/>
      <c r="K32" s="82"/>
      <c r="L32" s="82"/>
    </row>
    <row r="33" spans="1:12" x14ac:dyDescent="0.2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</row>
    <row r="34" spans="1:12" x14ac:dyDescent="0.2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2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12" x14ac:dyDescent="0.2">
      <c r="A36" s="82"/>
      <c r="B36" s="82"/>
      <c r="C36" s="112"/>
      <c r="D36" s="82"/>
      <c r="E36" s="82"/>
      <c r="F36" s="82"/>
      <c r="G36" s="82"/>
      <c r="H36" s="82"/>
      <c r="I36" s="82"/>
      <c r="J36" s="82"/>
      <c r="K36" s="82"/>
      <c r="L36" s="82"/>
    </row>
    <row r="37" spans="1:12" x14ac:dyDescent="0.2">
      <c r="A37" s="82"/>
      <c r="B37" s="82"/>
      <c r="C37" s="112"/>
      <c r="D37" s="82"/>
      <c r="E37" s="82"/>
      <c r="F37" s="82"/>
      <c r="G37" s="82"/>
      <c r="H37" s="82"/>
      <c r="I37" s="82"/>
      <c r="J37" s="82"/>
      <c r="K37" s="82"/>
      <c r="L37" s="82"/>
    </row>
    <row r="38" spans="1:12" x14ac:dyDescent="0.2">
      <c r="A38" s="82"/>
      <c r="B38" s="82"/>
      <c r="C38" s="112"/>
      <c r="D38" s="82"/>
      <c r="E38" s="82"/>
      <c r="F38" s="82"/>
      <c r="G38" s="82"/>
      <c r="H38" s="82"/>
      <c r="I38" s="82"/>
      <c r="J38" s="82"/>
      <c r="K38" s="82"/>
      <c r="L38" s="82"/>
    </row>
    <row r="39" spans="1:12" x14ac:dyDescent="0.2">
      <c r="A39" s="82"/>
      <c r="B39" s="82"/>
      <c r="C39" s="112"/>
      <c r="D39" s="82"/>
      <c r="E39" s="82"/>
      <c r="F39" s="82"/>
      <c r="G39" s="82"/>
      <c r="H39" s="82"/>
      <c r="I39" s="82"/>
      <c r="J39" s="82"/>
      <c r="K39" s="82"/>
      <c r="L39" s="82"/>
    </row>
    <row r="40" spans="1:12" x14ac:dyDescent="0.2">
      <c r="A40" s="82"/>
      <c r="B40" s="82"/>
      <c r="C40" s="112"/>
      <c r="D40" s="82"/>
      <c r="E40" s="147"/>
      <c r="F40" s="147"/>
      <c r="G40" s="147"/>
      <c r="H40" s="147"/>
      <c r="I40" s="147"/>
      <c r="J40" s="147"/>
      <c r="K40" s="147"/>
      <c r="L40" s="147"/>
    </row>
    <row r="41" spans="1:12" x14ac:dyDescent="0.2">
      <c r="A41" s="82"/>
      <c r="B41" s="82"/>
      <c r="C41" s="112"/>
      <c r="D41" s="82"/>
      <c r="E41" s="147"/>
      <c r="F41" s="147"/>
      <c r="G41" s="147"/>
      <c r="H41" s="147"/>
      <c r="I41" s="147"/>
      <c r="J41" s="147"/>
      <c r="K41" s="147"/>
      <c r="L41" s="147"/>
    </row>
    <row r="42" spans="1:12" x14ac:dyDescent="0.2">
      <c r="A42" s="82"/>
      <c r="B42" s="82"/>
      <c r="C42" s="112"/>
      <c r="D42" s="82"/>
      <c r="E42" s="82"/>
      <c r="F42" s="82"/>
      <c r="G42" s="82"/>
      <c r="H42" s="82"/>
      <c r="I42" s="82"/>
      <c r="J42" s="82"/>
      <c r="K42" s="82"/>
      <c r="L42" s="82"/>
    </row>
    <row r="43" spans="1:12" x14ac:dyDescent="0.2">
      <c r="A43" s="82"/>
      <c r="B43" s="82"/>
      <c r="C43" s="112"/>
      <c r="D43" s="82"/>
      <c r="E43" s="82"/>
      <c r="F43" s="82"/>
      <c r="G43" s="82"/>
      <c r="H43" s="82"/>
      <c r="I43" s="82"/>
      <c r="J43" s="82"/>
      <c r="K43" s="82"/>
      <c r="L43" s="82"/>
    </row>
    <row r="44" spans="1:12" x14ac:dyDescent="0.2">
      <c r="A44" s="82"/>
      <c r="B44" s="82"/>
      <c r="C44" s="112"/>
      <c r="D44" s="82"/>
      <c r="E44" s="82"/>
      <c r="F44" s="82"/>
      <c r="G44" s="82"/>
      <c r="H44" s="82"/>
      <c r="I44" s="82"/>
      <c r="J44" s="82"/>
      <c r="K44" s="82"/>
      <c r="L44" s="82"/>
    </row>
    <row r="45" spans="1:12" x14ac:dyDescent="0.2">
      <c r="A45" s="82"/>
      <c r="B45" s="82"/>
      <c r="C45" s="112"/>
      <c r="D45" s="82"/>
      <c r="E45" s="82"/>
      <c r="F45" s="82"/>
      <c r="G45" s="82"/>
      <c r="H45" s="82"/>
      <c r="I45" s="82"/>
      <c r="J45" s="82"/>
      <c r="K45" s="82"/>
      <c r="L45" s="82"/>
    </row>
    <row r="46" spans="1:12" x14ac:dyDescent="0.2">
      <c r="A46" s="82"/>
      <c r="B46" s="82"/>
      <c r="C46" s="112"/>
      <c r="D46" s="82"/>
      <c r="E46" s="82"/>
      <c r="F46" s="82"/>
      <c r="G46" s="82"/>
      <c r="H46" s="82"/>
      <c r="I46" s="82"/>
      <c r="J46" s="82"/>
      <c r="K46" s="82"/>
      <c r="L46" s="82"/>
    </row>
    <row r="47" spans="1:12" x14ac:dyDescent="0.2">
      <c r="A47" s="82"/>
      <c r="B47" s="82"/>
      <c r="C47" s="112"/>
      <c r="D47" s="82"/>
      <c r="E47" s="82"/>
      <c r="F47" s="82"/>
      <c r="G47" s="82"/>
      <c r="H47" s="82"/>
      <c r="I47" s="82"/>
      <c r="J47" s="82"/>
      <c r="K47" s="82"/>
      <c r="L47" s="82"/>
    </row>
    <row r="48" spans="1:12" x14ac:dyDescent="0.2">
      <c r="A48" s="82"/>
      <c r="B48" s="82"/>
      <c r="C48" s="112"/>
      <c r="D48" s="82"/>
      <c r="E48" s="82"/>
      <c r="F48" s="82"/>
      <c r="G48" s="82"/>
      <c r="H48" s="82"/>
      <c r="I48" s="82"/>
      <c r="J48" s="82"/>
      <c r="K48" s="82"/>
      <c r="L48" s="82"/>
    </row>
    <row r="49" spans="1:12" x14ac:dyDescent="0.2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</row>
    <row r="50" spans="1:12" x14ac:dyDescent="0.2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</row>
    <row r="51" spans="1:12" x14ac:dyDescent="0.2">
      <c r="A51" s="82"/>
      <c r="B51" s="82"/>
      <c r="C51" s="112"/>
      <c r="D51" s="82"/>
      <c r="E51" s="82"/>
      <c r="F51" s="82"/>
      <c r="G51" s="82"/>
      <c r="H51" s="82"/>
      <c r="I51" s="82"/>
      <c r="J51" s="82"/>
      <c r="K51" s="82"/>
      <c r="L51" s="82"/>
    </row>
    <row r="52" spans="1:12" x14ac:dyDescent="0.2">
      <c r="A52" s="82"/>
      <c r="B52" s="82"/>
      <c r="C52" s="112"/>
      <c r="D52" s="82"/>
      <c r="E52" s="82"/>
      <c r="F52" s="82"/>
      <c r="G52" s="82"/>
      <c r="H52" s="82"/>
      <c r="I52" s="82"/>
      <c r="J52" s="82"/>
      <c r="K52" s="82"/>
      <c r="L52" s="82"/>
    </row>
    <row r="53" spans="1:12" x14ac:dyDescent="0.2">
      <c r="A53" s="82"/>
      <c r="B53" s="82"/>
      <c r="C53" s="112"/>
      <c r="D53" s="82"/>
      <c r="E53" s="82"/>
      <c r="F53" s="82"/>
      <c r="G53" s="82"/>
      <c r="H53" s="82"/>
      <c r="I53" s="82"/>
      <c r="J53" s="82"/>
      <c r="K53" s="82"/>
      <c r="L53" s="82"/>
    </row>
    <row r="54" spans="1:12" x14ac:dyDescent="0.2">
      <c r="A54" s="82"/>
      <c r="B54" s="82"/>
      <c r="C54" s="112"/>
      <c r="D54" s="82"/>
      <c r="E54" s="82"/>
      <c r="F54" s="82"/>
      <c r="G54" s="82"/>
      <c r="H54" s="82"/>
      <c r="I54" s="82"/>
      <c r="J54" s="82"/>
      <c r="K54" s="82"/>
      <c r="L54" s="82"/>
    </row>
    <row r="55" spans="1:12" x14ac:dyDescent="0.2">
      <c r="A55" s="82"/>
      <c r="B55" s="82"/>
      <c r="C55" s="112"/>
      <c r="D55" s="82"/>
      <c r="E55" s="82"/>
      <c r="F55" s="82"/>
      <c r="G55" s="82"/>
      <c r="H55" s="82"/>
      <c r="I55" s="82"/>
      <c r="J55" s="82"/>
      <c r="K55" s="82"/>
      <c r="L55" s="82"/>
    </row>
    <row r="56" spans="1:12" x14ac:dyDescent="0.2">
      <c r="A56" s="82"/>
      <c r="B56" s="82"/>
      <c r="C56" s="112"/>
      <c r="D56" s="82"/>
      <c r="E56" s="82"/>
      <c r="F56" s="82"/>
      <c r="G56" s="82"/>
      <c r="H56" s="82"/>
      <c r="I56" s="82"/>
      <c r="J56" s="82"/>
      <c r="K56" s="82"/>
      <c r="L56" s="82"/>
    </row>
    <row r="57" spans="1:12" x14ac:dyDescent="0.2">
      <c r="A57" s="82"/>
      <c r="B57" s="82"/>
      <c r="C57" s="112"/>
      <c r="D57" s="82"/>
      <c r="E57" s="82"/>
      <c r="F57" s="82"/>
      <c r="G57" s="82"/>
      <c r="H57" s="82"/>
      <c r="I57" s="82"/>
      <c r="J57" s="82"/>
      <c r="K57" s="82"/>
      <c r="L57" s="82"/>
    </row>
    <row r="58" spans="1:12" x14ac:dyDescent="0.2">
      <c r="A58" s="82"/>
      <c r="B58" s="82"/>
      <c r="C58" s="112"/>
      <c r="D58" s="82"/>
      <c r="E58" s="82"/>
      <c r="F58" s="82"/>
      <c r="G58" s="82"/>
      <c r="H58" s="82"/>
      <c r="I58" s="82"/>
      <c r="J58" s="82"/>
      <c r="K58" s="82"/>
      <c r="L58" s="82"/>
    </row>
    <row r="59" spans="1:12" x14ac:dyDescent="0.2">
      <c r="A59" s="82"/>
      <c r="B59" s="82"/>
      <c r="C59" s="112"/>
      <c r="D59" s="82"/>
      <c r="E59" s="82"/>
      <c r="F59" s="82"/>
      <c r="G59" s="82"/>
      <c r="H59" s="82"/>
      <c r="I59" s="82"/>
      <c r="J59" s="82"/>
      <c r="K59" s="82"/>
      <c r="L59" s="82"/>
    </row>
    <row r="60" spans="1:12" x14ac:dyDescent="0.2">
      <c r="A60" s="82"/>
      <c r="B60" s="82"/>
      <c r="C60" s="112"/>
      <c r="D60" s="82"/>
      <c r="E60" s="82"/>
      <c r="F60" s="82"/>
      <c r="G60" s="82"/>
      <c r="H60" s="82"/>
      <c r="I60" s="82"/>
      <c r="J60" s="82"/>
      <c r="K60" s="82"/>
      <c r="L60" s="82"/>
    </row>
    <row r="61" spans="1:12" x14ac:dyDescent="0.2">
      <c r="A61" s="82"/>
      <c r="B61" s="82"/>
      <c r="C61" s="112"/>
      <c r="D61" s="82"/>
      <c r="E61" s="82"/>
      <c r="F61" s="82"/>
      <c r="G61" s="82"/>
      <c r="H61" s="82"/>
      <c r="I61" s="82"/>
      <c r="J61" s="82"/>
      <c r="K61" s="82"/>
      <c r="L61" s="82"/>
    </row>
    <row r="62" spans="1:12" x14ac:dyDescent="0.2">
      <c r="A62" s="82"/>
      <c r="B62" s="82"/>
      <c r="C62" s="112"/>
      <c r="D62" s="82"/>
      <c r="E62" s="82"/>
      <c r="F62" s="82"/>
      <c r="G62" s="82"/>
      <c r="H62" s="82"/>
      <c r="I62" s="82"/>
      <c r="J62" s="82"/>
      <c r="K62" s="82"/>
      <c r="L62" s="82"/>
    </row>
    <row r="63" spans="1:12" x14ac:dyDescent="0.2">
      <c r="A63" s="82"/>
      <c r="B63" s="82"/>
      <c r="C63" s="112"/>
      <c r="D63" s="82"/>
      <c r="E63" s="82"/>
      <c r="F63" s="82"/>
      <c r="G63" s="82"/>
      <c r="H63" s="82"/>
      <c r="I63" s="82"/>
      <c r="J63" s="82"/>
      <c r="K63" s="82"/>
      <c r="L63" s="82"/>
    </row>
  </sheetData>
  <sheetProtection algorithmName="SHA-512" hashValue="TpqUpCxzfVsyCmqkFtwzi4MEq9x4Jze7u+LIw668i/KR1dRc30uUnIIb3/tiTWZ0BRAJIM+d78yrSKEB6Xu+Cw==" saltValue="HsaShg6sZLk7LOymyw3gk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A9DAD-2836-6544-BC55-3B1F2F6DEDA0}">
  <dimension ref="A1:Z41"/>
  <sheetViews>
    <sheetView workbookViewId="0">
      <selection activeCell="D20" sqref="D20"/>
    </sheetView>
  </sheetViews>
  <sheetFormatPr baseColWidth="10" defaultRowHeight="15" x14ac:dyDescent="0.2"/>
  <cols>
    <col min="1" max="1" width="36.33203125" customWidth="1"/>
    <col min="2" max="4" width="16.33203125" customWidth="1"/>
    <col min="5" max="5" width="19.33203125" customWidth="1"/>
    <col min="6" max="10" width="16.33203125" customWidth="1"/>
    <col min="12" max="12" width="13.6640625" bestFit="1" customWidth="1"/>
  </cols>
  <sheetData>
    <row r="1" spans="1:26" x14ac:dyDescent="0.2">
      <c r="A1" s="113" t="s">
        <v>13</v>
      </c>
      <c r="B1" s="113" t="s">
        <v>83</v>
      </c>
      <c r="C1" s="113" t="s">
        <v>100</v>
      </c>
      <c r="D1" s="113" t="s">
        <v>101</v>
      </c>
      <c r="E1" s="113" t="s">
        <v>65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>
        <v>30000000</v>
      </c>
      <c r="T1" s="82"/>
      <c r="U1" s="82"/>
      <c r="V1" s="82"/>
      <c r="W1" s="82"/>
      <c r="X1" s="82"/>
      <c r="Y1" s="82"/>
      <c r="Z1" s="82"/>
    </row>
    <row r="2" spans="1:26" x14ac:dyDescent="0.2">
      <c r="A2" s="38" t="s">
        <v>1</v>
      </c>
      <c r="B2" s="109">
        <f>VLOOKUP(A2,'School Data'!B2:Y15,4,FALSE)</f>
        <v>2365.6666666666665</v>
      </c>
      <c r="C2" s="143">
        <f>IF(B2&lt;$B$17,1-B2/$B$17,0)*$B$16</f>
        <v>0.39677250000000003</v>
      </c>
      <c r="D2" s="9">
        <f>C2*'Model Costs and Assumptions'!$C$7</f>
        <v>770.24255107500005</v>
      </c>
      <c r="E2" s="9">
        <f>D2*B2</f>
        <v>1822137.1283264251</v>
      </c>
      <c r="F2" s="111"/>
      <c r="G2" s="144"/>
      <c r="H2" s="6"/>
      <c r="I2" s="18"/>
      <c r="J2" s="18"/>
      <c r="K2" s="18"/>
      <c r="L2" s="82"/>
      <c r="M2" s="82"/>
      <c r="N2" s="82"/>
      <c r="O2" s="68"/>
      <c r="P2" s="187" t="s">
        <v>47</v>
      </c>
      <c r="Q2" s="114"/>
      <c r="R2" s="115"/>
      <c r="S2" s="115">
        <v>20000</v>
      </c>
      <c r="T2" s="115"/>
      <c r="U2" s="115"/>
      <c r="V2" s="115"/>
      <c r="W2" s="115"/>
      <c r="X2" s="115"/>
      <c r="Y2" s="82"/>
      <c r="Z2" s="82"/>
    </row>
    <row r="3" spans="1:26" ht="64" x14ac:dyDescent="0.2">
      <c r="A3" s="38" t="s">
        <v>2</v>
      </c>
      <c r="B3" s="109">
        <f>VLOOKUP(A3,'School Data'!B3:Y16,4,FALSE)</f>
        <v>6339.3333333333339</v>
      </c>
      <c r="C3" s="143">
        <f>IF(B3&lt;$B$17,1-B3/$B$17,0)*$B$16</f>
        <v>0.30736500000000005</v>
      </c>
      <c r="D3" s="9">
        <f>C3*'Model Costs and Assumptions'!$C$7</f>
        <v>596.67845355000009</v>
      </c>
      <c r="E3" s="9">
        <f t="shared" ref="E3:E13" si="0">D3*B3</f>
        <v>3782543.6098713009</v>
      </c>
      <c r="F3" s="111"/>
      <c r="G3" s="144"/>
      <c r="H3" s="6"/>
      <c r="I3" s="18"/>
      <c r="J3" s="18"/>
      <c r="K3" s="18"/>
      <c r="L3" s="82"/>
      <c r="M3" s="82"/>
      <c r="N3" s="82"/>
      <c r="O3" s="116" t="s">
        <v>13</v>
      </c>
      <c r="P3" s="188"/>
      <c r="Q3" s="117" t="s">
        <v>88</v>
      </c>
      <c r="R3" s="118" t="s">
        <v>89</v>
      </c>
      <c r="S3" s="118" t="s">
        <v>90</v>
      </c>
      <c r="T3" s="118" t="s">
        <v>89</v>
      </c>
      <c r="U3" s="118" t="s">
        <v>91</v>
      </c>
      <c r="V3" s="118"/>
      <c r="W3" s="118" t="s">
        <v>92</v>
      </c>
      <c r="X3" s="115" t="s">
        <v>93</v>
      </c>
      <c r="Y3" s="115" t="s">
        <v>94</v>
      </c>
      <c r="Z3" s="82"/>
    </row>
    <row r="4" spans="1:26" x14ac:dyDescent="0.2">
      <c r="A4" s="38" t="s">
        <v>3</v>
      </c>
      <c r="B4" s="109">
        <f>VLOOKUP(A4,'School Data'!B4:Y17,4,FALSE)</f>
        <v>4418.333333333333</v>
      </c>
      <c r="C4" s="143">
        <f t="shared" ref="C4:C14" si="1">IF(B4&lt;$B$17,1-B4/$B$17,0)*$B$16</f>
        <v>0.3505875</v>
      </c>
      <c r="D4" s="9">
        <f>C4*'Model Costs and Assumptions'!$C$7</f>
        <v>680.58499612499998</v>
      </c>
      <c r="E4" s="9">
        <f t="shared" si="0"/>
        <v>3007051.3745456245</v>
      </c>
      <c r="F4" s="111"/>
      <c r="G4" s="144"/>
      <c r="H4" s="6"/>
      <c r="I4" s="18"/>
      <c r="J4" s="18"/>
      <c r="K4" s="18"/>
      <c r="L4" s="82"/>
      <c r="M4" s="82"/>
      <c r="N4" s="82"/>
      <c r="O4" s="82" t="s">
        <v>1</v>
      </c>
      <c r="P4" s="119">
        <v>2366</v>
      </c>
      <c r="Q4" s="120">
        <v>1057</v>
      </c>
      <c r="R4" s="111">
        <v>2500000</v>
      </c>
      <c r="S4" s="111">
        <v>17634</v>
      </c>
      <c r="T4" s="111">
        <v>4811536</v>
      </c>
      <c r="U4" s="111">
        <v>2034</v>
      </c>
      <c r="V4" s="121">
        <v>4.2299999999999998E-4</v>
      </c>
      <c r="W4" s="111">
        <v>7489196</v>
      </c>
      <c r="X4" s="111">
        <v>3166</v>
      </c>
      <c r="Y4" s="82">
        <v>0</v>
      </c>
      <c r="Z4" s="110" t="s">
        <v>95</v>
      </c>
    </row>
    <row r="5" spans="1:26" x14ac:dyDescent="0.2">
      <c r="A5" s="38" t="s">
        <v>4</v>
      </c>
      <c r="B5" s="109">
        <f>VLOOKUP(A5,'School Data'!B5:Y18,4,FALSE)</f>
        <v>20425.333333333336</v>
      </c>
      <c r="C5" s="143">
        <f t="shared" si="1"/>
        <v>0</v>
      </c>
      <c r="D5" s="9">
        <f>C5*'Model Costs and Assumptions'!$C$7</f>
        <v>0</v>
      </c>
      <c r="E5" s="9">
        <f t="shared" si="0"/>
        <v>0</v>
      </c>
      <c r="F5" s="111"/>
      <c r="G5" s="144"/>
      <c r="H5" s="6"/>
      <c r="I5" s="18"/>
      <c r="J5" s="18"/>
      <c r="K5" s="18"/>
      <c r="L5" s="82"/>
      <c r="M5" s="82"/>
      <c r="N5" s="82"/>
      <c r="O5" s="82" t="s">
        <v>2</v>
      </c>
      <c r="P5" s="119">
        <v>6339</v>
      </c>
      <c r="Q5" s="120">
        <v>394</v>
      </c>
      <c r="R5" s="111">
        <v>2500000</v>
      </c>
      <c r="S5" s="111">
        <v>13661</v>
      </c>
      <c r="T5" s="111">
        <v>3727319</v>
      </c>
      <c r="U5" s="111">
        <v>588</v>
      </c>
      <c r="V5" s="121">
        <v>1.5799999999999999E-4</v>
      </c>
      <c r="W5" s="111">
        <v>2794764</v>
      </c>
      <c r="X5" s="111">
        <v>441</v>
      </c>
      <c r="Y5" s="82">
        <v>0</v>
      </c>
      <c r="Z5" s="110" t="s">
        <v>95</v>
      </c>
    </row>
    <row r="6" spans="1:26" x14ac:dyDescent="0.2">
      <c r="A6" s="38" t="s">
        <v>5</v>
      </c>
      <c r="B6" s="109">
        <f>VLOOKUP(A6,'School Data'!B6:Y19,4,FALSE)</f>
        <v>5983</v>
      </c>
      <c r="C6" s="143">
        <f t="shared" si="1"/>
        <v>0.31538250000000001</v>
      </c>
      <c r="D6" s="9">
        <f>C6*'Model Costs and Assumptions'!$C$7</f>
        <v>612.24258577500007</v>
      </c>
      <c r="E6" s="9">
        <f t="shared" si="0"/>
        <v>3663047.3906918252</v>
      </c>
      <c r="F6" s="111"/>
      <c r="G6" s="144"/>
      <c r="H6" s="6"/>
      <c r="I6" s="18"/>
      <c r="J6" s="18"/>
      <c r="K6" s="18"/>
      <c r="L6" s="82"/>
      <c r="M6" s="82"/>
      <c r="N6" s="82"/>
      <c r="O6" s="82" t="s">
        <v>3</v>
      </c>
      <c r="P6" s="119">
        <v>4418</v>
      </c>
      <c r="Q6" s="120">
        <v>566</v>
      </c>
      <c r="R6" s="111">
        <v>2500000</v>
      </c>
      <c r="S6" s="111">
        <v>15582</v>
      </c>
      <c r="T6" s="111">
        <v>4251465</v>
      </c>
      <c r="U6" s="111">
        <v>962</v>
      </c>
      <c r="V6" s="121">
        <v>2.2599999999999999E-4</v>
      </c>
      <c r="W6" s="111">
        <v>4009870</v>
      </c>
      <c r="X6" s="111">
        <v>908</v>
      </c>
      <c r="Y6" s="82">
        <v>0</v>
      </c>
      <c r="Z6" s="110" t="s">
        <v>95</v>
      </c>
    </row>
    <row r="7" spans="1:26" x14ac:dyDescent="0.2">
      <c r="A7" s="38" t="s">
        <v>6</v>
      </c>
      <c r="B7" s="109">
        <f>VLOOKUP(A7,'School Data'!B7:Y20,4,FALSE)</f>
        <v>15856</v>
      </c>
      <c r="C7" s="143">
        <f t="shared" si="1"/>
        <v>9.3240000000000031E-2</v>
      </c>
      <c r="D7" s="9">
        <f>C7*'Model Costs and Assumptions'!$C$7</f>
        <v>181.00401480000005</v>
      </c>
      <c r="E7" s="9">
        <f t="shared" si="0"/>
        <v>2869999.6586688007</v>
      </c>
      <c r="F7" s="111"/>
      <c r="G7" s="144"/>
      <c r="H7" s="6"/>
      <c r="I7" s="18"/>
      <c r="J7" s="18"/>
      <c r="K7" s="18"/>
      <c r="L7" s="82"/>
      <c r="M7" s="82"/>
      <c r="N7" s="82"/>
      <c r="O7" s="82" t="s">
        <v>4</v>
      </c>
      <c r="P7" s="119">
        <v>20425</v>
      </c>
      <c r="Q7" s="120">
        <v>122</v>
      </c>
      <c r="R7" s="111">
        <v>2500000</v>
      </c>
      <c r="S7" s="111" t="s">
        <v>96</v>
      </c>
      <c r="T7" s="111" t="s">
        <v>96</v>
      </c>
      <c r="U7" s="111" t="s">
        <v>96</v>
      </c>
      <c r="V7" s="121">
        <v>4.8999999999999998E-5</v>
      </c>
      <c r="W7" s="111">
        <v>867400</v>
      </c>
      <c r="X7" s="111">
        <v>42</v>
      </c>
      <c r="Y7" s="82">
        <v>0</v>
      </c>
      <c r="Z7" s="110" t="s">
        <v>95</v>
      </c>
    </row>
    <row r="8" spans="1:26" x14ac:dyDescent="0.2">
      <c r="A8" s="38" t="s">
        <v>7</v>
      </c>
      <c r="B8" s="109">
        <f>VLOOKUP(A8,'School Data'!B8:Y21,4,FALSE)</f>
        <v>11101</v>
      </c>
      <c r="C8" s="143">
        <f t="shared" si="1"/>
        <v>0.20022749999999997</v>
      </c>
      <c r="D8" s="9">
        <f>C8*'Model Costs and Assumptions'!$C$7</f>
        <v>388.69563892499997</v>
      </c>
      <c r="E8" s="9">
        <f t="shared" si="0"/>
        <v>4314910.2877064245</v>
      </c>
      <c r="F8" s="111"/>
      <c r="G8" s="144"/>
      <c r="H8" s="6"/>
      <c r="I8" s="18"/>
      <c r="J8" s="18"/>
      <c r="K8" s="18"/>
      <c r="L8" s="82"/>
      <c r="M8" s="82"/>
      <c r="N8" s="82"/>
      <c r="O8" s="82" t="s">
        <v>5</v>
      </c>
      <c r="P8" s="119">
        <v>5983</v>
      </c>
      <c r="Q8" s="120">
        <v>418</v>
      </c>
      <c r="R8" s="111">
        <v>2500000</v>
      </c>
      <c r="S8" s="111">
        <v>14017</v>
      </c>
      <c r="T8" s="111">
        <v>3824545</v>
      </c>
      <c r="U8" s="111">
        <v>639</v>
      </c>
      <c r="V8" s="121">
        <v>1.6699999999999999E-4</v>
      </c>
      <c r="W8" s="111">
        <v>2961214</v>
      </c>
      <c r="X8" s="111">
        <v>495</v>
      </c>
      <c r="Y8" s="82">
        <v>0</v>
      </c>
      <c r="Z8" s="110" t="s">
        <v>95</v>
      </c>
    </row>
    <row r="9" spans="1:26" x14ac:dyDescent="0.2">
      <c r="A9" s="38" t="s">
        <v>8</v>
      </c>
      <c r="B9" s="109">
        <f>VLOOKUP(A9,'School Data'!B9:Y22,4,FALSE)</f>
        <v>12660</v>
      </c>
      <c r="C9" s="143">
        <f t="shared" si="1"/>
        <v>0.16514999999999999</v>
      </c>
      <c r="D9" s="9">
        <f>C9*'Model Costs and Assumptions'!$C$7</f>
        <v>320.60074049999997</v>
      </c>
      <c r="E9" s="9">
        <f t="shared" si="0"/>
        <v>4058805.3747299998</v>
      </c>
      <c r="F9" s="111"/>
      <c r="G9" s="144"/>
      <c r="H9" s="6"/>
      <c r="I9" s="18"/>
      <c r="J9" s="18"/>
      <c r="K9" s="18"/>
      <c r="L9" s="82"/>
      <c r="M9" s="82"/>
      <c r="N9" s="82"/>
      <c r="O9" s="82" t="s">
        <v>6</v>
      </c>
      <c r="P9" s="119">
        <v>15856</v>
      </c>
      <c r="Q9" s="120">
        <v>158</v>
      </c>
      <c r="R9" s="111">
        <v>2500000</v>
      </c>
      <c r="S9" s="111">
        <v>4144</v>
      </c>
      <c r="T9" s="111">
        <v>1130692</v>
      </c>
      <c r="U9" s="111">
        <v>71</v>
      </c>
      <c r="V9" s="121">
        <v>6.3E-5</v>
      </c>
      <c r="W9" s="111">
        <v>1117365</v>
      </c>
      <c r="X9" s="111">
        <v>70</v>
      </c>
      <c r="Y9" s="82">
        <v>0</v>
      </c>
      <c r="Z9" s="110" t="s">
        <v>95</v>
      </c>
    </row>
    <row r="10" spans="1:26" x14ac:dyDescent="0.2">
      <c r="A10" s="38" t="s">
        <v>9</v>
      </c>
      <c r="B10" s="109">
        <f>VLOOKUP(A10,'School Data'!B10:Y23,4,FALSE)</f>
        <v>33026</v>
      </c>
      <c r="C10" s="143">
        <f t="shared" si="1"/>
        <v>0</v>
      </c>
      <c r="D10" s="9">
        <f>C10*'Model Costs and Assumptions'!$C$7</f>
        <v>0</v>
      </c>
      <c r="E10" s="9">
        <f t="shared" si="0"/>
        <v>0</v>
      </c>
      <c r="F10" s="111"/>
      <c r="G10" s="144"/>
      <c r="H10" s="6"/>
      <c r="I10" s="18"/>
      <c r="J10" s="18"/>
      <c r="K10" s="18"/>
      <c r="L10" s="82"/>
      <c r="M10" s="82"/>
      <c r="N10" s="82"/>
      <c r="O10" s="82" t="s">
        <v>7</v>
      </c>
      <c r="P10" s="119">
        <v>11101</v>
      </c>
      <c r="Q10" s="120">
        <v>225</v>
      </c>
      <c r="R10" s="111">
        <v>2500000</v>
      </c>
      <c r="S10" s="111">
        <v>8899</v>
      </c>
      <c r="T10" s="111">
        <v>2428096</v>
      </c>
      <c r="U10" s="111">
        <v>219</v>
      </c>
      <c r="V10" s="121">
        <v>9.0000000000000006E-5</v>
      </c>
      <c r="W10" s="111">
        <v>1595977</v>
      </c>
      <c r="X10" s="111">
        <v>144</v>
      </c>
      <c r="Y10" s="82">
        <v>0</v>
      </c>
      <c r="Z10" s="110" t="s">
        <v>95</v>
      </c>
    </row>
    <row r="11" spans="1:26" x14ac:dyDescent="0.2">
      <c r="A11" s="38" t="s">
        <v>10</v>
      </c>
      <c r="B11" s="109">
        <f>VLOOKUP(A11,'School Data'!B11:Y23,4,FALSE)</f>
        <v>3936.666666666667</v>
      </c>
      <c r="C11" s="143">
        <f t="shared" si="1"/>
        <v>0.361425</v>
      </c>
      <c r="D11" s="9">
        <f>C11*'Model Costs and Assumptions'!$C$7</f>
        <v>701.62350975000004</v>
      </c>
      <c r="E11" s="9">
        <f t="shared" si="0"/>
        <v>2762057.8833825001</v>
      </c>
      <c r="F11" s="111"/>
      <c r="G11" s="144"/>
      <c r="H11" s="6"/>
      <c r="I11" s="18"/>
      <c r="J11" s="18"/>
      <c r="K11" s="18"/>
      <c r="L11" s="82"/>
      <c r="M11" s="82"/>
      <c r="N11" s="82"/>
      <c r="O11" s="82" t="s">
        <v>8</v>
      </c>
      <c r="P11" s="119">
        <v>12660</v>
      </c>
      <c r="Q11" s="120">
        <v>197</v>
      </c>
      <c r="R11" s="111">
        <v>2500000</v>
      </c>
      <c r="S11" s="111">
        <v>7340</v>
      </c>
      <c r="T11" s="111">
        <v>2002722</v>
      </c>
      <c r="U11" s="111">
        <v>158</v>
      </c>
      <c r="V11" s="121">
        <v>7.8999999999999996E-5</v>
      </c>
      <c r="W11" s="111">
        <v>1399442</v>
      </c>
      <c r="X11" s="111">
        <v>111</v>
      </c>
      <c r="Y11" s="82">
        <v>0</v>
      </c>
      <c r="Z11" s="110" t="s">
        <v>95</v>
      </c>
    </row>
    <row r="12" spans="1:26" x14ac:dyDescent="0.2">
      <c r="A12" s="38" t="s">
        <v>11</v>
      </c>
      <c r="B12" s="109">
        <f>VLOOKUP(A12,'School Data'!B12:Y24,4,FALSE)</f>
        <v>53639.666666666672</v>
      </c>
      <c r="C12" s="143">
        <f t="shared" si="1"/>
        <v>0</v>
      </c>
      <c r="D12" s="9">
        <f>C12*'Model Costs and Assumptions'!$C$7</f>
        <v>0</v>
      </c>
      <c r="E12" s="9">
        <f t="shared" si="0"/>
        <v>0</v>
      </c>
      <c r="F12" s="111"/>
      <c r="G12" s="144"/>
      <c r="H12" s="6"/>
      <c r="I12" s="18"/>
      <c r="J12" s="18"/>
      <c r="K12" s="18"/>
      <c r="L12" s="82"/>
      <c r="M12" s="82"/>
      <c r="N12" s="82"/>
      <c r="O12" s="82" t="s">
        <v>9</v>
      </c>
      <c r="P12" s="119">
        <v>33026</v>
      </c>
      <c r="Q12" s="120">
        <v>76</v>
      </c>
      <c r="R12" s="111">
        <v>2500000</v>
      </c>
      <c r="S12" s="111" t="s">
        <v>96</v>
      </c>
      <c r="T12" s="111" t="s">
        <v>96</v>
      </c>
      <c r="U12" s="111" t="s">
        <v>96</v>
      </c>
      <c r="V12" s="121">
        <v>3.0000000000000001E-5</v>
      </c>
      <c r="W12" s="111">
        <v>536454</v>
      </c>
      <c r="X12" s="111">
        <v>16</v>
      </c>
      <c r="Y12" s="82">
        <v>0</v>
      </c>
      <c r="Z12" s="110" t="s">
        <v>95</v>
      </c>
    </row>
    <row r="13" spans="1:26" x14ac:dyDescent="0.2">
      <c r="A13" s="38" t="s">
        <v>12</v>
      </c>
      <c r="B13" s="109">
        <f>VLOOKUP(A13,'School Data'!B13:Y25,4,FALSE)</f>
        <v>7389.666666666667</v>
      </c>
      <c r="C13" s="143">
        <f t="shared" si="1"/>
        <v>0.2837325</v>
      </c>
      <c r="D13" s="9">
        <f>C13*'Model Costs and Assumptions'!$C$7</f>
        <v>550.80139027500002</v>
      </c>
      <c r="E13" s="9">
        <f t="shared" si="0"/>
        <v>4070238.6736688251</v>
      </c>
      <c r="F13" s="111"/>
      <c r="G13" s="144"/>
      <c r="H13" s="6"/>
      <c r="I13" s="18"/>
      <c r="J13" s="18"/>
      <c r="K13" s="18"/>
      <c r="L13" s="82"/>
      <c r="M13" s="82"/>
      <c r="N13" s="82"/>
      <c r="O13" s="82" t="s">
        <v>10</v>
      </c>
      <c r="P13" s="119">
        <v>3937</v>
      </c>
      <c r="Q13" s="120">
        <v>635</v>
      </c>
      <c r="R13" s="111">
        <v>2500000</v>
      </c>
      <c r="S13" s="111">
        <v>16063</v>
      </c>
      <c r="T13" s="111">
        <v>4382888</v>
      </c>
      <c r="U13" s="111">
        <v>1113</v>
      </c>
      <c r="V13" s="121">
        <v>2.5399999999999999E-4</v>
      </c>
      <c r="W13" s="111">
        <v>4500493</v>
      </c>
      <c r="X13" s="111">
        <v>1143</v>
      </c>
      <c r="Y13" s="82">
        <v>0</v>
      </c>
      <c r="Z13" s="110" t="s">
        <v>95</v>
      </c>
    </row>
    <row r="14" spans="1:26" x14ac:dyDescent="0.2">
      <c r="A14" s="82" t="s">
        <v>23</v>
      </c>
      <c r="B14" s="109">
        <f>VLOOKUP(A14,'School Data'!B14:Y26,4,FALSE)</f>
        <v>177140.66666666666</v>
      </c>
      <c r="C14" s="143">
        <f t="shared" si="1"/>
        <v>0</v>
      </c>
      <c r="D14" s="9">
        <f>C14*'Model Costs and Assumptions'!$C$7</f>
        <v>0</v>
      </c>
      <c r="E14" s="9">
        <f>SUM(E2:E13)</f>
        <v>30350791.381591722</v>
      </c>
      <c r="F14" s="111"/>
      <c r="G14" s="145"/>
      <c r="H14" s="8"/>
      <c r="I14" s="18"/>
      <c r="K14" s="18"/>
      <c r="L14" s="82"/>
      <c r="M14" s="82"/>
      <c r="N14" s="82"/>
      <c r="O14" s="82" t="s">
        <v>11</v>
      </c>
      <c r="P14" s="119">
        <v>53640</v>
      </c>
      <c r="Q14" s="120">
        <v>47</v>
      </c>
      <c r="R14" s="111">
        <v>2500000</v>
      </c>
      <c r="S14" s="111" t="s">
        <v>96</v>
      </c>
      <c r="T14" s="111" t="s">
        <v>96</v>
      </c>
      <c r="U14" s="111" t="s">
        <v>96</v>
      </c>
      <c r="V14" s="121">
        <v>1.9000000000000001E-5</v>
      </c>
      <c r="W14" s="111">
        <v>330296</v>
      </c>
      <c r="X14" s="111">
        <v>6</v>
      </c>
      <c r="Y14" s="82">
        <v>0</v>
      </c>
      <c r="Z14" s="110" t="s">
        <v>95</v>
      </c>
    </row>
    <row r="15" spans="1:26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 t="s">
        <v>12</v>
      </c>
      <c r="P15" s="119">
        <v>7390</v>
      </c>
      <c r="Q15" s="120">
        <v>338</v>
      </c>
      <c r="R15" s="111">
        <v>2500000</v>
      </c>
      <c r="S15" s="111">
        <v>12610</v>
      </c>
      <c r="T15" s="111">
        <v>3440735</v>
      </c>
      <c r="U15" s="111">
        <v>466</v>
      </c>
      <c r="V15" s="121">
        <v>1.35E-4</v>
      </c>
      <c r="W15" s="111">
        <v>2397529</v>
      </c>
      <c r="X15" s="111">
        <v>324</v>
      </c>
      <c r="Y15" s="82">
        <v>0</v>
      </c>
      <c r="Z15" s="110" t="s">
        <v>95</v>
      </c>
    </row>
    <row r="16" spans="1:26" x14ac:dyDescent="0.2">
      <c r="A16" s="82" t="s">
        <v>99</v>
      </c>
      <c r="B16" s="138">
        <v>0.45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113"/>
      <c r="P16" s="122"/>
      <c r="Q16" s="123"/>
      <c r="R16" s="124"/>
      <c r="S16" s="124"/>
      <c r="T16" s="124"/>
      <c r="U16" s="124"/>
      <c r="V16" s="125">
        <v>1.6930000000000001E-3</v>
      </c>
      <c r="W16" s="111" t="s">
        <v>97</v>
      </c>
      <c r="X16" s="111"/>
      <c r="Y16" s="82"/>
      <c r="Z16" s="82"/>
    </row>
    <row r="17" spans="1:26" x14ac:dyDescent="0.2">
      <c r="A17" s="82" t="s">
        <v>102</v>
      </c>
      <c r="B17" s="142">
        <v>20000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26" x14ac:dyDescent="0.2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x14ac:dyDescent="0.2">
      <c r="A19" s="82"/>
      <c r="B19" s="109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109" t="s">
        <v>98</v>
      </c>
      <c r="W19" s="82"/>
      <c r="X19" s="82"/>
      <c r="Y19" s="82"/>
      <c r="Z19" s="82"/>
    </row>
    <row r="20" spans="1:26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pans="1:26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 x14ac:dyDescent="0.2">
      <c r="A22" s="82"/>
      <c r="B22" s="82"/>
      <c r="C22" s="82"/>
      <c r="D22" s="82"/>
      <c r="E22" s="82"/>
      <c r="F22" s="82"/>
      <c r="G22" s="82"/>
      <c r="H22" s="82"/>
      <c r="I22" s="82"/>
      <c r="J22" s="139"/>
      <c r="K22" s="139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spans="1:26" ht="18" x14ac:dyDescent="0.2">
      <c r="A23" s="127"/>
      <c r="B23" s="128"/>
      <c r="C23" s="128"/>
      <c r="D23" s="128"/>
      <c r="E23" s="128"/>
      <c r="F23" s="128"/>
      <c r="G23" s="128"/>
      <c r="H23" s="128"/>
      <c r="I23" s="129"/>
      <c r="J23" s="140"/>
      <c r="K23" s="113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</row>
    <row r="24" spans="1:26" ht="18" x14ac:dyDescent="0.2">
      <c r="A24" s="126"/>
      <c r="B24" s="130"/>
      <c r="C24" s="131"/>
      <c r="D24" s="131"/>
      <c r="E24" s="131"/>
      <c r="F24" s="131"/>
      <c r="G24" s="132"/>
      <c r="H24" s="131"/>
      <c r="I24" s="131"/>
      <c r="J24" s="137"/>
      <c r="K24" s="9"/>
      <c r="L24" s="141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1:26" ht="18" x14ac:dyDescent="0.2">
      <c r="A25" s="126"/>
      <c r="B25" s="130"/>
      <c r="C25" s="131"/>
      <c r="D25" s="131"/>
      <c r="E25" s="131"/>
      <c r="F25" s="131"/>
      <c r="G25" s="132"/>
      <c r="H25" s="131"/>
      <c r="I25" s="131"/>
      <c r="J25" s="137"/>
      <c r="K25" s="9"/>
      <c r="L25" s="14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6" ht="18" x14ac:dyDescent="0.2">
      <c r="A26" s="126"/>
      <c r="B26" s="130"/>
      <c r="C26" s="131"/>
      <c r="D26" s="131"/>
      <c r="E26" s="131"/>
      <c r="F26" s="131"/>
      <c r="G26" s="132"/>
      <c r="H26" s="131"/>
      <c r="I26" s="131"/>
      <c r="J26" s="137"/>
      <c r="K26" s="9"/>
      <c r="L26" s="141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6" ht="18" x14ac:dyDescent="0.2">
      <c r="A27" s="126"/>
      <c r="B27" s="130"/>
      <c r="C27" s="131"/>
      <c r="D27" s="131"/>
      <c r="E27" s="131"/>
      <c r="F27" s="131"/>
      <c r="G27" s="132"/>
      <c r="H27" s="131"/>
      <c r="I27" s="131"/>
      <c r="J27" s="137"/>
      <c r="K27" s="9"/>
      <c r="L27" s="14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6" ht="18" x14ac:dyDescent="0.2">
      <c r="A28" s="126"/>
      <c r="B28" s="130"/>
      <c r="C28" s="131"/>
      <c r="D28" s="131"/>
      <c r="E28" s="131"/>
      <c r="F28" s="131"/>
      <c r="G28" s="132"/>
      <c r="H28" s="131"/>
      <c r="I28" s="131"/>
      <c r="J28" s="137"/>
      <c r="K28" s="9"/>
      <c r="L28" s="141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6" ht="18" x14ac:dyDescent="0.2">
      <c r="A29" s="126"/>
      <c r="B29" s="130"/>
      <c r="C29" s="131"/>
      <c r="D29" s="131"/>
      <c r="E29" s="131"/>
      <c r="F29" s="131"/>
      <c r="G29" s="132"/>
      <c r="H29" s="131"/>
      <c r="I29" s="131"/>
      <c r="J29" s="137"/>
      <c r="K29" s="9"/>
      <c r="L29" s="14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6" ht="18" x14ac:dyDescent="0.2">
      <c r="A30" s="126"/>
      <c r="B30" s="130"/>
      <c r="C30" s="131"/>
      <c r="D30" s="131"/>
      <c r="E30" s="131"/>
      <c r="F30" s="131"/>
      <c r="G30" s="132"/>
      <c r="H30" s="131"/>
      <c r="I30" s="131"/>
      <c r="J30" s="137"/>
      <c r="K30" s="9"/>
      <c r="L30" s="141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26" ht="18" x14ac:dyDescent="0.2">
      <c r="A31" s="126"/>
      <c r="B31" s="130"/>
      <c r="C31" s="131"/>
      <c r="D31" s="131"/>
      <c r="E31" s="131"/>
      <c r="F31" s="131"/>
      <c r="G31" s="132"/>
      <c r="H31" s="131"/>
      <c r="I31" s="131"/>
      <c r="J31" s="137"/>
      <c r="K31" s="9"/>
      <c r="L31" s="141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6" ht="18" x14ac:dyDescent="0.2">
      <c r="A32" s="126"/>
      <c r="B32" s="130"/>
      <c r="C32" s="131"/>
      <c r="D32" s="131"/>
      <c r="E32" s="131"/>
      <c r="F32" s="131"/>
      <c r="G32" s="132"/>
      <c r="H32" s="131"/>
      <c r="I32" s="131"/>
      <c r="J32" s="137"/>
      <c r="K32" s="9"/>
      <c r="L32" s="141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spans="1:26" ht="18" x14ac:dyDescent="0.2">
      <c r="A33" s="126"/>
      <c r="B33" s="130"/>
      <c r="C33" s="131"/>
      <c r="D33" s="131"/>
      <c r="E33" s="131"/>
      <c r="F33" s="131"/>
      <c r="G33" s="132"/>
      <c r="H33" s="131"/>
      <c r="I33" s="131"/>
      <c r="J33" s="137"/>
      <c r="K33" s="9"/>
      <c r="L33" s="14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6" ht="18" x14ac:dyDescent="0.2">
      <c r="A34" s="126"/>
      <c r="B34" s="130"/>
      <c r="C34" s="131"/>
      <c r="D34" s="131"/>
      <c r="E34" s="131"/>
      <c r="F34" s="131"/>
      <c r="G34" s="132"/>
      <c r="H34" s="131"/>
      <c r="I34" s="131"/>
      <c r="J34" s="137"/>
      <c r="K34" s="9"/>
      <c r="L34" s="141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spans="1:26" ht="18" x14ac:dyDescent="0.2">
      <c r="A35" s="126"/>
      <c r="B35" s="130"/>
      <c r="C35" s="131"/>
      <c r="D35" s="131"/>
      <c r="E35" s="131"/>
      <c r="F35" s="131"/>
      <c r="G35" s="132"/>
      <c r="H35" s="131"/>
      <c r="I35" s="131"/>
      <c r="J35" s="137"/>
      <c r="K35" s="9"/>
      <c r="L35" s="141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spans="1:26" ht="18" x14ac:dyDescent="0.2">
      <c r="A36" s="90"/>
      <c r="B36" s="133"/>
      <c r="C36" s="136"/>
      <c r="D36" s="134"/>
      <c r="E36" s="135"/>
      <c r="F36" s="135"/>
      <c r="G36" s="135"/>
      <c r="H36" s="135"/>
      <c r="I36" s="134"/>
      <c r="J36" s="137"/>
      <c r="K36" s="9"/>
      <c r="L36" s="141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</row>
    <row r="37" spans="1:26" x14ac:dyDescent="0.2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1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x14ac:dyDescent="0.2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x14ac:dyDescent="0.2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x14ac:dyDescent="0.2">
      <c r="A41" s="82"/>
      <c r="B41" s="109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</sheetData>
  <sheetProtection algorithmName="SHA-512" hashValue="59h+MxTggLnzNlP9ZO3NHWyF///mHM6nJshzkBMX01J0Mo/WvBysb6kw3bFa+tBNU6b4OTynC83GmgyeI3o4JA==" saltValue="nx1jP0uqX+PCt3e750rHfQ==" spinCount="100000" sheet="1" objects="1" scenarios="1"/>
  <mergeCells count="1">
    <mergeCell ref="P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Institution Summary</vt:lpstr>
      <vt:lpstr>Institutional Base Calc</vt:lpstr>
      <vt:lpstr>Instituional Equity Calc</vt:lpstr>
      <vt:lpstr>ESS Calculation</vt:lpstr>
      <vt:lpstr>School Data</vt:lpstr>
      <vt:lpstr>Model Costs and Assumptions</vt:lpstr>
      <vt:lpstr>School Size Adjustment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Moss</dc:creator>
  <cp:lastModifiedBy>Katie Lynne Morton</cp:lastModifiedBy>
  <dcterms:created xsi:type="dcterms:W3CDTF">2023-02-15T15:41:21Z</dcterms:created>
  <dcterms:modified xsi:type="dcterms:W3CDTF">2024-01-05T22:40:54Z</dcterms:modified>
</cp:coreProperties>
</file>