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bheorg-my.sharepoint.com/personal/ostro_ibhe_org/Documents/Funding Commission/"/>
    </mc:Choice>
  </mc:AlternateContent>
  <xr:revisionPtr revIDLastSave="0" documentId="8_{3B7F3992-A516-4598-B14D-07DC89E50DC3}" xr6:coauthVersionLast="47" xr6:coauthVersionMax="47" xr10:uidLastSave="{00000000-0000-0000-0000-000000000000}"/>
  <bookViews>
    <workbookView xWindow="-110" yWindow="-110" windowWidth="19420" windowHeight="11500" xr2:uid="{E58AFF84-E4D1-4C2D-84CC-3187C88EF0EA}"/>
  </bookViews>
  <sheets>
    <sheet name="Institution Summary" sheetId="24" r:id="rId1"/>
    <sheet name="Institutional Base Calc" sheetId="27" r:id="rId2"/>
    <sheet name="Instituional Equity Calc" sheetId="14" r:id="rId3"/>
    <sheet name="ESS Calculation" sheetId="33" r:id="rId4"/>
    <sheet name="School Data" sheetId="55" r:id="rId5"/>
    <sheet name="Model Costs and Assumptions" sheetId="54" r:id="rId6"/>
    <sheet name="ESS Index" sheetId="56" r:id="rId7"/>
    <sheet name="High-Cost Enrollment" sheetId="58" r:id="rId8"/>
    <sheet name="School Size Adjustment" sheetId="5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58" l="1"/>
  <c r="J5" i="58"/>
  <c r="J7" i="58"/>
  <c r="J8" i="58"/>
  <c r="J9" i="58"/>
  <c r="J10" i="58"/>
  <c r="J11" i="58"/>
  <c r="J12" i="58"/>
  <c r="J13" i="58"/>
  <c r="J14" i="58"/>
  <c r="J15" i="58"/>
  <c r="J16" i="58"/>
  <c r="J17" i="58"/>
  <c r="J18" i="58"/>
  <c r="J19" i="58"/>
  <c r="J20" i="58"/>
  <c r="O5" i="56"/>
  <c r="AA18" i="55" l="1"/>
  <c r="O6" i="56" l="1"/>
  <c r="Y4" i="55" s="1"/>
  <c r="O7" i="56"/>
  <c r="Y5" i="55" s="1"/>
  <c r="O8" i="56"/>
  <c r="Y6" i="55" s="1"/>
  <c r="O9" i="56"/>
  <c r="Y7" i="55" s="1"/>
  <c r="O10" i="56"/>
  <c r="Y8" i="55" s="1"/>
  <c r="O11" i="56"/>
  <c r="Y9" i="55" s="1"/>
  <c r="O12" i="56"/>
  <c r="Y10" i="55" s="1"/>
  <c r="Z10" i="55" s="1"/>
  <c r="O13" i="56"/>
  <c r="Y11" i="55" s="1"/>
  <c r="Z11" i="55" s="1"/>
  <c r="O14" i="56"/>
  <c r="Y12" i="55" s="1"/>
  <c r="Z12" i="55" s="1"/>
  <c r="O15" i="56"/>
  <c r="Y13" i="55" s="1"/>
  <c r="Z13" i="55" s="1"/>
  <c r="O16" i="56"/>
  <c r="Y14" i="55" s="1"/>
  <c r="Z14" i="55" s="1"/>
  <c r="O17" i="56"/>
  <c r="Y15" i="55" s="1"/>
  <c r="Z15" i="55" s="1"/>
  <c r="O18" i="56"/>
  <c r="Y16" i="55" s="1"/>
  <c r="Z16" i="55" s="1"/>
  <c r="O19" i="56"/>
  <c r="Y17" i="55" s="1"/>
  <c r="Z17" i="55" s="1"/>
  <c r="O20" i="56"/>
  <c r="Y18" i="55" s="1"/>
  <c r="Y3" i="55"/>
  <c r="G51" i="24" l="1"/>
  <c r="G52" i="24"/>
  <c r="G53" i="24"/>
  <c r="G54" i="24"/>
  <c r="G55" i="24"/>
  <c r="G58" i="24"/>
  <c r="G61" i="24"/>
  <c r="G64" i="24"/>
  <c r="G50" i="24"/>
  <c r="C51" i="24"/>
  <c r="C52" i="24"/>
  <c r="C53" i="24"/>
  <c r="C54" i="24"/>
  <c r="C55" i="24"/>
  <c r="C58" i="24"/>
  <c r="C61" i="24"/>
  <c r="C64" i="24"/>
  <c r="C50" i="24"/>
  <c r="I10" i="33" l="1"/>
  <c r="I11" i="33"/>
  <c r="I12" i="33"/>
  <c r="I13" i="33"/>
  <c r="I14" i="33"/>
  <c r="I15" i="33"/>
  <c r="I16" i="33"/>
  <c r="I17" i="33"/>
  <c r="Z4" i="55"/>
  <c r="I4" i="33" s="1"/>
  <c r="Z5" i="55"/>
  <c r="I5" i="33" s="1"/>
  <c r="Z6" i="55"/>
  <c r="I6" i="33" s="1"/>
  <c r="Z7" i="55"/>
  <c r="I7" i="33" s="1"/>
  <c r="Z8" i="55"/>
  <c r="I8" i="33" s="1"/>
  <c r="Z9" i="55"/>
  <c r="I9" i="33" s="1"/>
  <c r="Z18" i="55"/>
  <c r="I18" i="33" s="1"/>
  <c r="Z3" i="55"/>
  <c r="I3" i="33" s="1"/>
  <c r="T3" i="55" l="1"/>
  <c r="U3" i="55" s="1"/>
  <c r="E4" i="55"/>
  <c r="E5" i="55"/>
  <c r="E6" i="55"/>
  <c r="E7" i="55"/>
  <c r="E8" i="55"/>
  <c r="E9" i="55"/>
  <c r="E10" i="55"/>
  <c r="E11" i="55"/>
  <c r="E12" i="55"/>
  <c r="E13" i="55"/>
  <c r="E14" i="55"/>
  <c r="E15" i="55"/>
  <c r="E16" i="55"/>
  <c r="E17" i="55"/>
  <c r="E3" i="55"/>
  <c r="Y19" i="58" l="1"/>
  <c r="Y18" i="58"/>
  <c r="X14" i="58"/>
  <c r="W13" i="58"/>
  <c r="W12" i="58"/>
  <c r="W11" i="58"/>
  <c r="W10" i="58"/>
  <c r="W9" i="58"/>
  <c r="W8" i="58"/>
  <c r="W7" i="58"/>
  <c r="W6" i="58"/>
  <c r="W5" i="58"/>
  <c r="W15" i="58" l="1"/>
  <c r="W14" i="58"/>
  <c r="X5" i="58"/>
  <c r="W16" i="58"/>
  <c r="W17" i="58"/>
  <c r="W18" i="58"/>
  <c r="W19" i="58"/>
  <c r="X7" i="58"/>
  <c r="X8" i="58"/>
  <c r="X9" i="58"/>
  <c r="X10" i="58"/>
  <c r="X12" i="58"/>
  <c r="X13" i="58"/>
  <c r="X15" i="58"/>
  <c r="X16" i="58"/>
  <c r="X17" i="58"/>
  <c r="X18" i="58"/>
  <c r="X20" i="58"/>
  <c r="Y6" i="58"/>
  <c r="Y7" i="58"/>
  <c r="Y8" i="58"/>
  <c r="Y9" i="58"/>
  <c r="Y10" i="58"/>
  <c r="Y11" i="58"/>
  <c r="Y12" i="58"/>
  <c r="Y13" i="58"/>
  <c r="Y14" i="58"/>
  <c r="Y15" i="58"/>
  <c r="Y16" i="58"/>
  <c r="Y17" i="58"/>
  <c r="Y20" i="58"/>
  <c r="W20" i="58"/>
  <c r="Y5" i="58"/>
  <c r="P5" i="58"/>
  <c r="G3" i="55" s="1"/>
  <c r="P18" i="58"/>
  <c r="G16" i="55" s="1"/>
  <c r="S20" i="58"/>
  <c r="V18" i="55" s="1"/>
  <c r="L8" i="58"/>
  <c r="N8" i="58" s="1"/>
  <c r="O8" i="58" s="1"/>
  <c r="F6" i="55" s="1"/>
  <c r="W9" i="55"/>
  <c r="S9" i="58"/>
  <c r="V7" i="55" s="1"/>
  <c r="U13" i="58"/>
  <c r="X11" i="55" s="1"/>
  <c r="U17" i="58"/>
  <c r="X15" i="55" s="1"/>
  <c r="W4" i="55"/>
  <c r="L10" i="58"/>
  <c r="N10" i="58" s="1"/>
  <c r="U16" i="58"/>
  <c r="X14" i="55" s="1"/>
  <c r="S19" i="58"/>
  <c r="V17" i="55" s="1"/>
  <c r="S12" i="58"/>
  <c r="V10" i="55" s="1"/>
  <c r="Q7" i="58"/>
  <c r="H5" i="55" s="1"/>
  <c r="S15" i="58"/>
  <c r="V13" i="55" s="1"/>
  <c r="Q6" i="58" l="1"/>
  <c r="H4" i="55" s="1"/>
  <c r="Q11" i="58"/>
  <c r="H9" i="55" s="1"/>
  <c r="P15" i="58"/>
  <c r="G13" i="55" s="1"/>
  <c r="Q8" i="58"/>
  <c r="H6" i="55" s="1"/>
  <c r="Q19" i="58"/>
  <c r="H17" i="55" s="1"/>
  <c r="Q13" i="58"/>
  <c r="H11" i="55" s="1"/>
  <c r="P7" i="58"/>
  <c r="G5" i="55" s="1"/>
  <c r="P6" i="58"/>
  <c r="G4" i="55" s="1"/>
  <c r="Q10" i="58"/>
  <c r="H8" i="55" s="1"/>
  <c r="P10" i="58"/>
  <c r="G8" i="55" s="1"/>
  <c r="P11" i="58"/>
  <c r="G9" i="55" s="1"/>
  <c r="U18" i="58"/>
  <c r="X16" i="55" s="1"/>
  <c r="Q18" i="58"/>
  <c r="H16" i="55" s="1"/>
  <c r="P12" i="58"/>
  <c r="G10" i="55" s="1"/>
  <c r="Q15" i="58"/>
  <c r="H13" i="55" s="1"/>
  <c r="P16" i="58"/>
  <c r="G14" i="55" s="1"/>
  <c r="Q5" i="58"/>
  <c r="H3" i="55" s="1"/>
  <c r="P20" i="58"/>
  <c r="G18" i="55" s="1"/>
  <c r="Q12" i="58"/>
  <c r="H10" i="55" s="1"/>
  <c r="P9" i="58"/>
  <c r="G7" i="55" s="1"/>
  <c r="Q20" i="58"/>
  <c r="H18" i="55" s="1"/>
  <c r="Q17" i="58"/>
  <c r="H15" i="55" s="1"/>
  <c r="P17" i="58"/>
  <c r="G15" i="55" s="1"/>
  <c r="Q9" i="58"/>
  <c r="H7" i="55" s="1"/>
  <c r="P8" i="58"/>
  <c r="G6" i="55" s="1"/>
  <c r="T14" i="58"/>
  <c r="W12" i="55" s="1"/>
  <c r="P14" i="58"/>
  <c r="G12" i="55" s="1"/>
  <c r="Q16" i="58"/>
  <c r="H14" i="55" s="1"/>
  <c r="P13" i="58"/>
  <c r="G11" i="55" s="1"/>
  <c r="Q14" i="58"/>
  <c r="H12" i="55" s="1"/>
  <c r="P19" i="58"/>
  <c r="G17" i="55" s="1"/>
  <c r="O10" i="58"/>
  <c r="F8" i="55" s="1"/>
  <c r="S5" i="58"/>
  <c r="V3" i="55" s="1"/>
  <c r="L5" i="58"/>
  <c r="N5" i="58" s="1"/>
  <c r="O5" i="58" s="1"/>
  <c r="F3" i="55" s="1"/>
  <c r="U5" i="58"/>
  <c r="X3" i="55" s="1"/>
  <c r="T5" i="58"/>
  <c r="W3" i="55" s="1"/>
  <c r="T10" i="58"/>
  <c r="W8" i="55" s="1"/>
  <c r="S10" i="58"/>
  <c r="V8" i="55" s="1"/>
  <c r="T12" i="58"/>
  <c r="W10" i="55" s="1"/>
  <c r="L12" i="58"/>
  <c r="N12" i="58" s="1"/>
  <c r="U20" i="58"/>
  <c r="X18" i="55" s="1"/>
  <c r="U12" i="58"/>
  <c r="X10" i="55" s="1"/>
  <c r="S16" i="58"/>
  <c r="V14" i="55" s="1"/>
  <c r="U6" i="58"/>
  <c r="X4" i="55" s="1"/>
  <c r="S6" i="58"/>
  <c r="V4" i="55" s="1"/>
  <c r="U8" i="58"/>
  <c r="X6" i="55" s="1"/>
  <c r="L20" i="58"/>
  <c r="N20" i="58" s="1"/>
  <c r="O20" i="58" s="1"/>
  <c r="F18" i="55" s="1"/>
  <c r="W17" i="55"/>
  <c r="L19" i="58"/>
  <c r="S18" i="58"/>
  <c r="V16" i="55" s="1"/>
  <c r="U19" i="58"/>
  <c r="X17" i="55" s="1"/>
  <c r="T16" i="58"/>
  <c r="W14" i="55" s="1"/>
  <c r="L16" i="58"/>
  <c r="N16" i="58" s="1"/>
  <c r="L9" i="58"/>
  <c r="N9" i="58" s="1"/>
  <c r="U11" i="58"/>
  <c r="X9" i="55" s="1"/>
  <c r="L11" i="58"/>
  <c r="N11" i="58" s="1"/>
  <c r="S8" i="58"/>
  <c r="V6" i="55" s="1"/>
  <c r="U9" i="58"/>
  <c r="X7" i="55" s="1"/>
  <c r="L14" i="58"/>
  <c r="N14" i="58" s="1"/>
  <c r="T8" i="58"/>
  <c r="W6" i="55" s="1"/>
  <c r="T20" i="58"/>
  <c r="W18" i="55" s="1"/>
  <c r="T9" i="58"/>
  <c r="W7" i="55" s="1"/>
  <c r="S11" i="58"/>
  <c r="V9" i="55" s="1"/>
  <c r="L6" i="58"/>
  <c r="N6" i="58" s="1"/>
  <c r="S13" i="58"/>
  <c r="V11" i="55" s="1"/>
  <c r="T18" i="58"/>
  <c r="W16" i="55" s="1"/>
  <c r="S14" i="58"/>
  <c r="V12" i="55" s="1"/>
  <c r="T17" i="58"/>
  <c r="W15" i="55" s="1"/>
  <c r="L13" i="58"/>
  <c r="N13" i="58" s="1"/>
  <c r="T13" i="58"/>
  <c r="W11" i="55" s="1"/>
  <c r="U10" i="58"/>
  <c r="X8" i="55" s="1"/>
  <c r="S17" i="58"/>
  <c r="V15" i="55" s="1"/>
  <c r="L17" i="58"/>
  <c r="N17" i="58" s="1"/>
  <c r="L18" i="58"/>
  <c r="N18" i="58" s="1"/>
  <c r="U14" i="58"/>
  <c r="X12" i="55" s="1"/>
  <c r="L15" i="58"/>
  <c r="N15" i="58" s="1"/>
  <c r="U15" i="58"/>
  <c r="X13" i="55" s="1"/>
  <c r="T15" i="58"/>
  <c r="W13" i="55" s="1"/>
  <c r="L7" i="58"/>
  <c r="N7" i="58" s="1"/>
  <c r="U7" i="58"/>
  <c r="X5" i="55" s="1"/>
  <c r="T7" i="58"/>
  <c r="W5" i="55" s="1"/>
  <c r="S7" i="58"/>
  <c r="V5" i="55" s="1"/>
  <c r="S18" i="55"/>
  <c r="R18" i="55"/>
  <c r="B14" i="53"/>
  <c r="B11" i="53"/>
  <c r="B8" i="53"/>
  <c r="O17" i="58" l="1"/>
  <c r="F15" i="55" s="1"/>
  <c r="O18" i="58"/>
  <c r="F16" i="55" s="1"/>
  <c r="O16" i="58"/>
  <c r="F14" i="55" s="1"/>
  <c r="O15" i="58"/>
  <c r="F13" i="55" s="1"/>
  <c r="O14" i="58"/>
  <c r="F12" i="55" s="1"/>
  <c r="O12" i="58"/>
  <c r="F10" i="55" s="1"/>
  <c r="O6" i="58"/>
  <c r="F4" i="55" s="1"/>
  <c r="O11" i="58"/>
  <c r="F9" i="55" s="1"/>
  <c r="O13" i="58"/>
  <c r="F11" i="55" s="1"/>
  <c r="O7" i="58"/>
  <c r="F5" i="55" s="1"/>
  <c r="O9" i="58"/>
  <c r="F7" i="55" s="1"/>
  <c r="J18" i="55"/>
  <c r="N19" i="58"/>
  <c r="O19" i="58" l="1"/>
  <c r="F17" i="55" s="1"/>
  <c r="Q1" i="14"/>
  <c r="R1" i="14" l="1"/>
  <c r="T11" i="55"/>
  <c r="U11" i="55" s="1"/>
  <c r="T12" i="55"/>
  <c r="U12" i="55" s="1"/>
  <c r="T13" i="55"/>
  <c r="U13" i="55" s="1"/>
  <c r="T14" i="55"/>
  <c r="U14" i="55" s="1"/>
  <c r="T15" i="55"/>
  <c r="U15" i="55" s="1"/>
  <c r="T16" i="55"/>
  <c r="U16" i="55" s="1"/>
  <c r="T17" i="55"/>
  <c r="T4" i="55"/>
  <c r="T5" i="55"/>
  <c r="T6" i="55"/>
  <c r="T7" i="55"/>
  <c r="T8" i="55"/>
  <c r="T9" i="55"/>
  <c r="T10" i="55"/>
  <c r="U10" i="55" s="1"/>
  <c r="C62" i="24" l="1"/>
  <c r="C12" i="24"/>
  <c r="C13" i="24"/>
  <c r="C14" i="24"/>
  <c r="C15" i="24"/>
  <c r="C16" i="24"/>
  <c r="C17" i="24"/>
  <c r="C18" i="24"/>
  <c r="C19" i="24"/>
  <c r="C11" i="24"/>
  <c r="C10" i="33"/>
  <c r="C11" i="33"/>
  <c r="C12" i="33"/>
  <c r="C13" i="33"/>
  <c r="C14" i="33"/>
  <c r="C15" i="33"/>
  <c r="C16" i="33"/>
  <c r="C17" i="33"/>
  <c r="G14" i="14"/>
  <c r="C11" i="14"/>
  <c r="C12" i="14"/>
  <c r="C13" i="14"/>
  <c r="C14" i="14"/>
  <c r="C15" i="14"/>
  <c r="C16" i="14"/>
  <c r="C17" i="14"/>
  <c r="C18" i="14"/>
  <c r="C11" i="27"/>
  <c r="C12" i="27"/>
  <c r="C13" i="27"/>
  <c r="C14" i="27"/>
  <c r="C15" i="27"/>
  <c r="C16" i="27"/>
  <c r="C17" i="27"/>
  <c r="C18" i="27"/>
  <c r="W11" i="27"/>
  <c r="W12" i="27"/>
  <c r="W14" i="27"/>
  <c r="W15" i="27"/>
  <c r="W16" i="27"/>
  <c r="W17" i="27"/>
  <c r="W18" i="27"/>
  <c r="V11" i="27"/>
  <c r="V12" i="27"/>
  <c r="V14" i="27"/>
  <c r="V15" i="27"/>
  <c r="V16" i="27"/>
  <c r="V17" i="27"/>
  <c r="V18" i="27"/>
  <c r="C9" i="53"/>
  <c r="D9" i="53" s="1"/>
  <c r="E9" i="53" s="1"/>
  <c r="T11" i="27" s="1"/>
  <c r="C12" i="53"/>
  <c r="D12" i="53" s="1"/>
  <c r="E12" i="53" s="1"/>
  <c r="T14" i="27" s="1"/>
  <c r="C15" i="53"/>
  <c r="D15" i="53" s="1"/>
  <c r="E15" i="53" s="1"/>
  <c r="T17" i="27" s="1"/>
  <c r="B10" i="53"/>
  <c r="C10" i="53" s="1"/>
  <c r="D10" i="53" s="1"/>
  <c r="E10" i="53" s="1"/>
  <c r="T12" i="27" s="1"/>
  <c r="C11" i="53"/>
  <c r="D11" i="53" s="1"/>
  <c r="E11" i="53" s="1"/>
  <c r="T13" i="27" s="1"/>
  <c r="B13" i="53"/>
  <c r="C13" i="53" s="1"/>
  <c r="D13" i="53" s="1"/>
  <c r="E13" i="53" s="1"/>
  <c r="T15" i="27" s="1"/>
  <c r="C14" i="53"/>
  <c r="D14" i="53" s="1"/>
  <c r="E14" i="53" s="1"/>
  <c r="T16" i="27" s="1"/>
  <c r="B16" i="53"/>
  <c r="C16" i="53" s="1"/>
  <c r="D16" i="53" s="1"/>
  <c r="E16" i="53" s="1"/>
  <c r="T18" i="27" s="1"/>
  <c r="O11" i="27"/>
  <c r="O12" i="27"/>
  <c r="O13" i="27"/>
  <c r="O14" i="27"/>
  <c r="O15" i="27"/>
  <c r="Q15" i="27" s="1"/>
  <c r="O16" i="27"/>
  <c r="Q16" i="27" s="1"/>
  <c r="O17" i="27"/>
  <c r="M3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4" i="27"/>
  <c r="I5" i="27"/>
  <c r="I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4" i="27"/>
  <c r="H11" i="27"/>
  <c r="H12" i="27"/>
  <c r="H13" i="27"/>
  <c r="H14" i="27"/>
  <c r="H15" i="27"/>
  <c r="H16" i="27"/>
  <c r="H17" i="27"/>
  <c r="H18" i="27"/>
  <c r="Q17" i="27" l="1"/>
  <c r="Q14" i="27"/>
  <c r="Q13" i="27"/>
  <c r="Q11" i="27"/>
  <c r="Q12" i="27"/>
  <c r="R17" i="14"/>
  <c r="R16" i="14"/>
  <c r="R12" i="14"/>
  <c r="R11" i="14"/>
  <c r="R15" i="14"/>
  <c r="R13" i="14"/>
  <c r="R14" i="14"/>
  <c r="R18" i="14"/>
  <c r="Q12" i="14"/>
  <c r="Y11" i="27"/>
  <c r="Y15" i="27"/>
  <c r="Y16" i="27"/>
  <c r="Y14" i="27"/>
  <c r="X12" i="27"/>
  <c r="Y18" i="27"/>
  <c r="Q18" i="14"/>
  <c r="Q17" i="14"/>
  <c r="Q16" i="14"/>
  <c r="Q15" i="14"/>
  <c r="Y17" i="27"/>
  <c r="Q14" i="14"/>
  <c r="Q13" i="14"/>
  <c r="Q11" i="14"/>
  <c r="Q61" i="24"/>
  <c r="M61" i="24"/>
  <c r="M64" i="24"/>
  <c r="Q64" i="24"/>
  <c r="M62" i="24"/>
  <c r="M58" i="24"/>
  <c r="Q58" i="24"/>
  <c r="Y12" i="27"/>
  <c r="X14" i="27"/>
  <c r="X17" i="27"/>
  <c r="X16" i="27"/>
  <c r="X11" i="27"/>
  <c r="X15" i="27"/>
  <c r="X18" i="27"/>
  <c r="G62" i="24" l="1"/>
  <c r="G59" i="24"/>
  <c r="G56" i="24"/>
  <c r="C56" i="24" l="1"/>
  <c r="Q62" i="24"/>
  <c r="C59" i="24"/>
  <c r="M59" i="24" l="1"/>
  <c r="Q59" i="24"/>
  <c r="V13" i="27"/>
  <c r="W13" i="27" l="1"/>
  <c r="Y13" i="27" s="1"/>
  <c r="K18" i="55"/>
  <c r="X13" i="27" l="1"/>
  <c r="V5" i="27"/>
  <c r="W5" i="27"/>
  <c r="V6" i="27"/>
  <c r="W6" i="27"/>
  <c r="V7" i="27"/>
  <c r="W7" i="27"/>
  <c r="V8" i="27"/>
  <c r="W8" i="27"/>
  <c r="V9" i="27"/>
  <c r="W9" i="27"/>
  <c r="V10" i="27"/>
  <c r="W10" i="27"/>
  <c r="W4" i="27"/>
  <c r="V4" i="27"/>
  <c r="O5" i="27"/>
  <c r="Q5" i="27" s="1"/>
  <c r="O6" i="27"/>
  <c r="Q6" i="27" s="1"/>
  <c r="O7" i="27"/>
  <c r="O8" i="27"/>
  <c r="Q8" i="27" s="1"/>
  <c r="O9" i="27"/>
  <c r="O10" i="27"/>
  <c r="O18" i="27"/>
  <c r="Q18" i="27" s="1"/>
  <c r="O4" i="27"/>
  <c r="Q4" i="27" s="1"/>
  <c r="V19" i="27" l="1"/>
  <c r="G17" i="14"/>
  <c r="G11" i="14"/>
  <c r="B3" i="53"/>
  <c r="B4" i="53"/>
  <c r="B5" i="53"/>
  <c r="B6" i="53"/>
  <c r="B7" i="53"/>
  <c r="B2" i="53"/>
  <c r="C2" i="53" s="1"/>
  <c r="X3" i="27"/>
  <c r="Y3" i="27"/>
  <c r="H4" i="27" l="1"/>
  <c r="C6" i="24" l="1"/>
  <c r="C7" i="24"/>
  <c r="C8" i="24"/>
  <c r="C9" i="24"/>
  <c r="C10" i="24"/>
  <c r="C5" i="24"/>
  <c r="U4" i="55"/>
  <c r="G5" i="14" s="1"/>
  <c r="U5" i="55"/>
  <c r="G6" i="14" s="1"/>
  <c r="U6" i="55"/>
  <c r="G7" i="14" s="1"/>
  <c r="U7" i="55"/>
  <c r="G8" i="14" s="1"/>
  <c r="U8" i="55"/>
  <c r="G9" i="14" s="1"/>
  <c r="U9" i="55"/>
  <c r="G10" i="14" s="1"/>
  <c r="J10" i="14" s="1"/>
  <c r="G12" i="14"/>
  <c r="G13" i="14"/>
  <c r="G15" i="14"/>
  <c r="G16" i="14"/>
  <c r="U17" i="55"/>
  <c r="G18" i="14" s="1"/>
  <c r="G4" i="14"/>
  <c r="C4" i="33"/>
  <c r="C5" i="33"/>
  <c r="C6" i="33"/>
  <c r="C7" i="33"/>
  <c r="C8" i="33"/>
  <c r="C9" i="33"/>
  <c r="C3" i="33"/>
  <c r="P1" i="14"/>
  <c r="O1" i="14"/>
  <c r="N1" i="14"/>
  <c r="M1" i="14"/>
  <c r="L1" i="14"/>
  <c r="K1" i="14"/>
  <c r="J1" i="14"/>
  <c r="I1" i="14"/>
  <c r="I10" i="14" s="1"/>
  <c r="H1" i="14"/>
  <c r="H11" i="14" s="1"/>
  <c r="C5" i="14"/>
  <c r="C6" i="14"/>
  <c r="C7" i="14"/>
  <c r="C8" i="14"/>
  <c r="C9" i="14"/>
  <c r="C10" i="14"/>
  <c r="C4" i="14"/>
  <c r="C5" i="27"/>
  <c r="C6" i="27"/>
  <c r="C7" i="27"/>
  <c r="Q7" i="27" s="1"/>
  <c r="C8" i="27"/>
  <c r="C9" i="27"/>
  <c r="Q9" i="27" s="1"/>
  <c r="C10" i="27"/>
  <c r="Q10" i="27" s="1"/>
  <c r="C4" i="27"/>
  <c r="P3" i="27"/>
  <c r="S3" i="27"/>
  <c r="L3" i="27"/>
  <c r="K3" i="27"/>
  <c r="H19" i="27"/>
  <c r="G3" i="27"/>
  <c r="E3" i="27"/>
  <c r="Q18" i="55"/>
  <c r="P18" i="55"/>
  <c r="O18" i="55"/>
  <c r="N18" i="55"/>
  <c r="M18" i="55"/>
  <c r="L18" i="55"/>
  <c r="E18" i="55"/>
  <c r="B17" i="53" s="1"/>
  <c r="D18" i="55"/>
  <c r="C18" i="55"/>
  <c r="H5" i="27"/>
  <c r="H6" i="27"/>
  <c r="H7" i="27"/>
  <c r="H8" i="27"/>
  <c r="H9" i="27"/>
  <c r="H10" i="27"/>
  <c r="K5" i="14" l="1"/>
  <c r="K4" i="27"/>
  <c r="E4" i="27"/>
  <c r="L4" i="27"/>
  <c r="P4" i="27"/>
  <c r="Q19" i="27"/>
  <c r="N6" i="14"/>
  <c r="E13" i="27"/>
  <c r="E12" i="27"/>
  <c r="E17" i="27"/>
  <c r="E11" i="27"/>
  <c r="E16" i="27"/>
  <c r="E14" i="27"/>
  <c r="E15" i="27"/>
  <c r="E18" i="27"/>
  <c r="P12" i="27"/>
  <c r="P17" i="27"/>
  <c r="P11" i="27"/>
  <c r="P16" i="27"/>
  <c r="P18" i="27"/>
  <c r="P15" i="27"/>
  <c r="P13" i="27"/>
  <c r="P14" i="27"/>
  <c r="K13" i="27"/>
  <c r="M18" i="27"/>
  <c r="K17" i="27"/>
  <c r="M16" i="27"/>
  <c r="L11" i="27"/>
  <c r="L13" i="27"/>
  <c r="K18" i="27"/>
  <c r="L17" i="27"/>
  <c r="L16" i="27"/>
  <c r="K15" i="27"/>
  <c r="K11" i="27"/>
  <c r="M13" i="27"/>
  <c r="M15" i="27"/>
  <c r="M17" i="27"/>
  <c r="K12" i="27"/>
  <c r="K14" i="27"/>
  <c r="M12" i="27"/>
  <c r="M14" i="27"/>
  <c r="L15" i="27"/>
  <c r="L12" i="27"/>
  <c r="L14" i="27"/>
  <c r="L18" i="27"/>
  <c r="M11" i="27"/>
  <c r="K16" i="27"/>
  <c r="S12" i="27"/>
  <c r="S15" i="27"/>
  <c r="S11" i="27"/>
  <c r="S13" i="27"/>
  <c r="S16" i="27"/>
  <c r="S17" i="27"/>
  <c r="S14" i="27"/>
  <c r="S18" i="27"/>
  <c r="L10" i="27"/>
  <c r="M10" i="27"/>
  <c r="K10" i="27"/>
  <c r="M7" i="27"/>
  <c r="K7" i="27"/>
  <c r="L7" i="27"/>
  <c r="M6" i="27"/>
  <c r="K6" i="27"/>
  <c r="L6" i="27"/>
  <c r="L9" i="27"/>
  <c r="K9" i="27"/>
  <c r="M9" i="27"/>
  <c r="K8" i="27"/>
  <c r="M8" i="27"/>
  <c r="L8" i="27"/>
  <c r="K5" i="27"/>
  <c r="L5" i="27"/>
  <c r="M5" i="27"/>
  <c r="M4" i="27"/>
  <c r="R6" i="14"/>
  <c r="R5" i="14"/>
  <c r="R9" i="14"/>
  <c r="R8" i="14"/>
  <c r="R7" i="14"/>
  <c r="R10" i="14"/>
  <c r="K14" i="14"/>
  <c r="K17" i="14"/>
  <c r="K11" i="14"/>
  <c r="L14" i="14"/>
  <c r="L17" i="14"/>
  <c r="L11" i="14"/>
  <c r="M14" i="14"/>
  <c r="M17" i="14"/>
  <c r="M11" i="14"/>
  <c r="N13" i="14"/>
  <c r="N14" i="14"/>
  <c r="N17" i="14"/>
  <c r="N11" i="14"/>
  <c r="I15" i="14"/>
  <c r="I18" i="14"/>
  <c r="I12" i="14"/>
  <c r="I14" i="14"/>
  <c r="I16" i="14"/>
  <c r="I17" i="14"/>
  <c r="I11" i="14"/>
  <c r="I13" i="14"/>
  <c r="O14" i="14"/>
  <c r="O11" i="14"/>
  <c r="O17" i="14"/>
  <c r="H15" i="14"/>
  <c r="H16" i="14"/>
  <c r="H18" i="14"/>
  <c r="H12" i="14"/>
  <c r="H13" i="14"/>
  <c r="H14" i="14"/>
  <c r="H17" i="14"/>
  <c r="J14" i="14"/>
  <c r="J17" i="14"/>
  <c r="J11" i="14"/>
  <c r="R4" i="14"/>
  <c r="P4" i="14"/>
  <c r="P11" i="14"/>
  <c r="P14" i="14"/>
  <c r="P15" i="14"/>
  <c r="P18" i="14"/>
  <c r="P16" i="14"/>
  <c r="P13" i="14"/>
  <c r="P12" i="14"/>
  <c r="P17" i="14"/>
  <c r="G15" i="27"/>
  <c r="G17" i="27"/>
  <c r="G12" i="27"/>
  <c r="G16" i="27"/>
  <c r="G13" i="27"/>
  <c r="G14" i="27"/>
  <c r="G11" i="27"/>
  <c r="G18" i="27"/>
  <c r="O12" i="14"/>
  <c r="J12" i="14"/>
  <c r="M12" i="14"/>
  <c r="N12" i="14"/>
  <c r="K12" i="14"/>
  <c r="L12" i="14"/>
  <c r="O13" i="14"/>
  <c r="J13" i="14"/>
  <c r="K13" i="14"/>
  <c r="L13" i="14"/>
  <c r="M13" i="14"/>
  <c r="N18" i="14"/>
  <c r="L18" i="14"/>
  <c r="M18" i="14"/>
  <c r="O18" i="14"/>
  <c r="J18" i="14"/>
  <c r="K18" i="14"/>
  <c r="M16" i="14"/>
  <c r="N16" i="14"/>
  <c r="O16" i="14"/>
  <c r="J16" i="14"/>
  <c r="K16" i="14"/>
  <c r="L16" i="14"/>
  <c r="O15" i="14"/>
  <c r="N15" i="14"/>
  <c r="M15" i="14"/>
  <c r="L15" i="14"/>
  <c r="J15" i="14"/>
  <c r="K15" i="14"/>
  <c r="Q8" i="14"/>
  <c r="Q7" i="14"/>
  <c r="Q5" i="14"/>
  <c r="Q6" i="14"/>
  <c r="Q4" i="14"/>
  <c r="Q10" i="14"/>
  <c r="Q9" i="14"/>
  <c r="N4" i="14"/>
  <c r="N5" i="14"/>
  <c r="N8" i="14"/>
  <c r="N9" i="14"/>
  <c r="N10" i="14"/>
  <c r="N7" i="14"/>
  <c r="O4" i="14"/>
  <c r="O5" i="14"/>
  <c r="O6" i="14"/>
  <c r="O7" i="14"/>
  <c r="O9" i="14"/>
  <c r="O10" i="14"/>
  <c r="O8" i="14"/>
  <c r="K8" i="14"/>
  <c r="K6" i="14"/>
  <c r="K9" i="14"/>
  <c r="K7" i="14"/>
  <c r="K10" i="14"/>
  <c r="K4" i="14"/>
  <c r="M4" i="14"/>
  <c r="M5" i="14"/>
  <c r="M6" i="14"/>
  <c r="M7" i="14"/>
  <c r="M8" i="14"/>
  <c r="M9" i="14"/>
  <c r="M10" i="14"/>
  <c r="H5" i="14"/>
  <c r="H6" i="14"/>
  <c r="H7" i="14"/>
  <c r="H8" i="14"/>
  <c r="H9" i="14"/>
  <c r="H10" i="14"/>
  <c r="H4" i="14"/>
  <c r="P5" i="14"/>
  <c r="P9" i="14"/>
  <c r="P7" i="14"/>
  <c r="P6" i="14"/>
  <c r="P10" i="14"/>
  <c r="P8" i="14"/>
  <c r="I5" i="14"/>
  <c r="I6" i="14"/>
  <c r="I7" i="14"/>
  <c r="I8" i="14"/>
  <c r="I9" i="14"/>
  <c r="I4" i="14"/>
  <c r="J8" i="14"/>
  <c r="J7" i="14"/>
  <c r="J5" i="14"/>
  <c r="J6" i="14"/>
  <c r="J9" i="14"/>
  <c r="J4" i="14"/>
  <c r="L5" i="14"/>
  <c r="L6" i="14"/>
  <c r="L7" i="14"/>
  <c r="L8" i="14"/>
  <c r="L9" i="14"/>
  <c r="L10" i="14"/>
  <c r="L4" i="14"/>
  <c r="T18" i="55"/>
  <c r="C97" i="24"/>
  <c r="Y10" i="27"/>
  <c r="X10" i="27"/>
  <c r="X6" i="27"/>
  <c r="Y6" i="27"/>
  <c r="Y9" i="27"/>
  <c r="X9" i="27"/>
  <c r="X5" i="27"/>
  <c r="Y5" i="27"/>
  <c r="X8" i="27"/>
  <c r="Y8" i="27"/>
  <c r="X7" i="27"/>
  <c r="Y7" i="27"/>
  <c r="P5" i="27"/>
  <c r="P8" i="27"/>
  <c r="P6" i="27"/>
  <c r="P7" i="27"/>
  <c r="P10" i="27"/>
  <c r="C18" i="33"/>
  <c r="W19" i="27"/>
  <c r="C19" i="27"/>
  <c r="C19" i="14"/>
  <c r="P9" i="27"/>
  <c r="T9" i="14" l="1"/>
  <c r="E35" i="24" s="1"/>
  <c r="K19" i="27"/>
  <c r="T4" i="14"/>
  <c r="E30" i="24" s="1"/>
  <c r="O19" i="14"/>
  <c r="N19" i="14"/>
  <c r="T14" i="14"/>
  <c r="T17" i="14"/>
  <c r="T11" i="14"/>
  <c r="AA13" i="27"/>
  <c r="C39" i="24" s="1"/>
  <c r="M19" i="27"/>
  <c r="L19" i="27"/>
  <c r="AA15" i="27"/>
  <c r="C41" i="24" s="1"/>
  <c r="AA17" i="27"/>
  <c r="AA12" i="27"/>
  <c r="C38" i="24" s="1"/>
  <c r="AA11" i="27"/>
  <c r="AA14" i="27"/>
  <c r="AA16" i="27"/>
  <c r="C42" i="24" s="1"/>
  <c r="AA18" i="27"/>
  <c r="C44" i="24" s="1"/>
  <c r="T15" i="14"/>
  <c r="E41" i="24" s="1"/>
  <c r="T13" i="14"/>
  <c r="E39" i="24" s="1"/>
  <c r="T16" i="14"/>
  <c r="E42" i="24" s="1"/>
  <c r="T12" i="14"/>
  <c r="E38" i="24" s="1"/>
  <c r="T18" i="14"/>
  <c r="E44" i="24" s="1"/>
  <c r="R19" i="14"/>
  <c r="T10" i="14"/>
  <c r="E36" i="24" s="1"/>
  <c r="T8" i="14"/>
  <c r="E34" i="24" s="1"/>
  <c r="T7" i="14"/>
  <c r="E33" i="24" s="1"/>
  <c r="T6" i="14"/>
  <c r="E32" i="24" s="1"/>
  <c r="T5" i="14"/>
  <c r="E31" i="24" s="1"/>
  <c r="J19" i="14"/>
  <c r="P19" i="27"/>
  <c r="C3" i="53"/>
  <c r="D3" i="53" s="1"/>
  <c r="C4" i="53"/>
  <c r="D4" i="53" s="1"/>
  <c r="C5" i="53"/>
  <c r="D5" i="53" s="1"/>
  <c r="C6" i="53"/>
  <c r="D6" i="53" s="1"/>
  <c r="F16" i="33" l="1"/>
  <c r="F14" i="33"/>
  <c r="M41" i="24"/>
  <c r="F13" i="33"/>
  <c r="F10" i="33"/>
  <c r="E14" i="14"/>
  <c r="E13" i="33"/>
  <c r="E10" i="33"/>
  <c r="E11" i="14"/>
  <c r="E17" i="14"/>
  <c r="E16" i="33"/>
  <c r="M44" i="24"/>
  <c r="F17" i="33"/>
  <c r="M42" i="24"/>
  <c r="F15" i="33"/>
  <c r="F11" i="33"/>
  <c r="M38" i="24"/>
  <c r="F12" i="33"/>
  <c r="M39" i="24"/>
  <c r="D2" i="53"/>
  <c r="C7" i="53"/>
  <c r="D7" i="53" s="1"/>
  <c r="C8" i="53"/>
  <c r="D8" i="53" s="1"/>
  <c r="K13" i="33" l="1"/>
  <c r="K16" i="33"/>
  <c r="G16" i="33"/>
  <c r="K10" i="33"/>
  <c r="G10" i="33"/>
  <c r="G13" i="33"/>
  <c r="Y4" i="27"/>
  <c r="X4" i="27"/>
  <c r="C17" i="53"/>
  <c r="D17" i="53" s="1"/>
  <c r="Y19" i="27" l="1"/>
  <c r="E6" i="53"/>
  <c r="T8" i="27" s="1"/>
  <c r="E5" i="53"/>
  <c r="T7" i="27" s="1"/>
  <c r="E4" i="53"/>
  <c r="T6" i="27" s="1"/>
  <c r="E3" i="53"/>
  <c r="T5" i="27" s="1"/>
  <c r="E8" i="53"/>
  <c r="T10" i="27" s="1"/>
  <c r="E7" i="53"/>
  <c r="T9" i="27" s="1"/>
  <c r="E2" i="53"/>
  <c r="T4" i="27" s="1"/>
  <c r="E17" i="53" l="1"/>
  <c r="T19" i="27"/>
  <c r="X19" i="27" l="1"/>
  <c r="Q50" i="24" l="1"/>
  <c r="M50" i="24"/>
  <c r="G4" i="27" l="1"/>
  <c r="S8" i="27" l="1"/>
  <c r="S10" i="27"/>
  <c r="Q53" i="24"/>
  <c r="Q56" i="24"/>
  <c r="Q52" i="24"/>
  <c r="S7" i="27"/>
  <c r="Q51" i="24"/>
  <c r="S6" i="27"/>
  <c r="Q55" i="24"/>
  <c r="S9" i="27"/>
  <c r="S5" i="27"/>
  <c r="Q54" i="24"/>
  <c r="M52" i="24" l="1"/>
  <c r="M53" i="24"/>
  <c r="M55" i="24"/>
  <c r="M51" i="24"/>
  <c r="M54" i="24"/>
  <c r="M56" i="24"/>
  <c r="S4" i="27" l="1"/>
  <c r="AA4" i="27" s="1"/>
  <c r="S19" i="27" l="1"/>
  <c r="L19" i="14" l="1"/>
  <c r="K19" i="14"/>
  <c r="M19" i="14"/>
  <c r="I19" i="14" l="1"/>
  <c r="H19" i="14" l="1"/>
  <c r="F3" i="33" l="1"/>
  <c r="E9" i="27" l="1"/>
  <c r="E10" i="27"/>
  <c r="E8" i="27"/>
  <c r="E6" i="27"/>
  <c r="E5" i="27"/>
  <c r="E7" i="27"/>
  <c r="E19" i="27" l="1"/>
  <c r="G6" i="27"/>
  <c r="AA6" i="27" s="1"/>
  <c r="C32" i="24" s="1"/>
  <c r="C30" i="24" l="1"/>
  <c r="E15" i="14"/>
  <c r="E14" i="33"/>
  <c r="E3" i="33"/>
  <c r="K3" i="33" s="1"/>
  <c r="E50" i="24" s="1"/>
  <c r="G9" i="27"/>
  <c r="AA9" i="27" s="1"/>
  <c r="C35" i="24" s="1"/>
  <c r="G7" i="27"/>
  <c r="AA7" i="27" s="1"/>
  <c r="C33" i="24" s="1"/>
  <c r="G10" i="27"/>
  <c r="AA10" i="27" s="1"/>
  <c r="C36" i="24" s="1"/>
  <c r="G5" i="27"/>
  <c r="G8" i="27"/>
  <c r="AA8" i="27" s="1"/>
  <c r="C34" i="24" s="1"/>
  <c r="AA5" i="27" l="1"/>
  <c r="C31" i="24" s="1"/>
  <c r="G19" i="27"/>
  <c r="AA19" i="27" s="1"/>
  <c r="I50" i="24"/>
  <c r="C96" i="24"/>
  <c r="G30" i="24"/>
  <c r="E5" i="24" s="1"/>
  <c r="E16" i="14"/>
  <c r="E15" i="33"/>
  <c r="E12" i="14"/>
  <c r="E11" i="33"/>
  <c r="G32" i="24"/>
  <c r="E7" i="24" s="1"/>
  <c r="K14" i="33"/>
  <c r="E61" i="24" s="1"/>
  <c r="G14" i="33"/>
  <c r="G31" i="24"/>
  <c r="E6" i="24" s="1"/>
  <c r="K41" i="24"/>
  <c r="G41" i="24"/>
  <c r="E13" i="14"/>
  <c r="E12" i="33"/>
  <c r="E18" i="14"/>
  <c r="E17" i="33"/>
  <c r="G36" i="24"/>
  <c r="G3" i="33"/>
  <c r="E5" i="33"/>
  <c r="E4" i="14"/>
  <c r="E6" i="14"/>
  <c r="P19" i="14"/>
  <c r="I61" i="24" l="1"/>
  <c r="G34" i="24"/>
  <c r="E9" i="24" s="1"/>
  <c r="K12" i="33"/>
  <c r="E59" i="24" s="1"/>
  <c r="G12" i="33"/>
  <c r="K32" i="24"/>
  <c r="K17" i="33"/>
  <c r="E64" i="24" s="1"/>
  <c r="G17" i="33"/>
  <c r="G33" i="24"/>
  <c r="E8" i="24" s="1"/>
  <c r="G35" i="24"/>
  <c r="E10" i="24" s="1"/>
  <c r="I41" i="24"/>
  <c r="E16" i="24"/>
  <c r="K11" i="33"/>
  <c r="E58" i="24" s="1"/>
  <c r="G11" i="33"/>
  <c r="K38" i="24"/>
  <c r="G38" i="24"/>
  <c r="K44" i="24"/>
  <c r="G44" i="24"/>
  <c r="K15" i="33"/>
  <c r="E62" i="24" s="1"/>
  <c r="G15" i="33"/>
  <c r="K42" i="24"/>
  <c r="G42" i="24"/>
  <c r="K39" i="24"/>
  <c r="G39" i="24"/>
  <c r="K36" i="24"/>
  <c r="E11" i="24"/>
  <c r="E9" i="33"/>
  <c r="E6" i="33"/>
  <c r="E8" i="33"/>
  <c r="E5" i="14"/>
  <c r="K31" i="24"/>
  <c r="E7" i="33"/>
  <c r="E4" i="33"/>
  <c r="E8" i="14"/>
  <c r="E7" i="14"/>
  <c r="E10" i="14"/>
  <c r="K30" i="24"/>
  <c r="E9" i="14"/>
  <c r="I64" i="24" l="1"/>
  <c r="C79" i="24"/>
  <c r="I79" i="24" s="1"/>
  <c r="O61" i="24"/>
  <c r="K34" i="24"/>
  <c r="K35" i="24"/>
  <c r="K33" i="24"/>
  <c r="E17" i="24"/>
  <c r="I42" i="24"/>
  <c r="I44" i="24"/>
  <c r="E19" i="24"/>
  <c r="I39" i="24"/>
  <c r="E14" i="24"/>
  <c r="K61" i="24"/>
  <c r="G16" i="24"/>
  <c r="I38" i="24"/>
  <c r="E13" i="24"/>
  <c r="E19" i="14"/>
  <c r="E18" i="33"/>
  <c r="E79" i="24" l="1"/>
  <c r="K79" i="24" s="1"/>
  <c r="C77" i="24"/>
  <c r="I77" i="24" s="1"/>
  <c r="C80" i="24"/>
  <c r="I80" i="24" s="1"/>
  <c r="C82" i="24"/>
  <c r="I82" i="24" s="1"/>
  <c r="C76" i="24"/>
  <c r="I76" i="24" s="1"/>
  <c r="G79" i="24"/>
  <c r="O59" i="24"/>
  <c r="I62" i="24"/>
  <c r="K62" i="24" s="1"/>
  <c r="G19" i="24"/>
  <c r="O58" i="24"/>
  <c r="I59" i="24"/>
  <c r="G14" i="24" s="1"/>
  <c r="O64" i="24"/>
  <c r="I58" i="24"/>
  <c r="G13" i="24" s="1"/>
  <c r="O62" i="24"/>
  <c r="F8" i="33"/>
  <c r="G8" i="33" s="1"/>
  <c r="F5" i="33"/>
  <c r="G5" i="33" s="1"/>
  <c r="F7" i="33"/>
  <c r="G7" i="33" s="1"/>
  <c r="Q19" i="14"/>
  <c r="T19" i="14" s="1"/>
  <c r="E77" i="24" l="1"/>
  <c r="K77" i="24" s="1"/>
  <c r="G76" i="24"/>
  <c r="E80" i="24"/>
  <c r="K80" i="24" s="1"/>
  <c r="E82" i="24"/>
  <c r="K82" i="24" s="1"/>
  <c r="K59" i="24"/>
  <c r="G80" i="24"/>
  <c r="K64" i="24"/>
  <c r="E76" i="24"/>
  <c r="K76" i="24" s="1"/>
  <c r="G77" i="24"/>
  <c r="G82" i="24"/>
  <c r="G17" i="24"/>
  <c r="K58" i="24"/>
  <c r="F4" i="33"/>
  <c r="G4" i="33" s="1"/>
  <c r="F9" i="33"/>
  <c r="G9" i="33" s="1"/>
  <c r="F6" i="33"/>
  <c r="G6" i="33" s="1"/>
  <c r="F18" i="33"/>
  <c r="G18" i="33" s="1"/>
  <c r="I30" i="24"/>
  <c r="M31" i="24"/>
  <c r="M34" i="24"/>
  <c r="M36" i="24"/>
  <c r="M35" i="24" l="1"/>
  <c r="M32" i="24"/>
  <c r="M33" i="24"/>
  <c r="I35" i="24"/>
  <c r="M30" i="24"/>
  <c r="I34" i="24"/>
  <c r="I31" i="24"/>
  <c r="I32" i="24"/>
  <c r="I33" i="24"/>
  <c r="I36" i="24"/>
  <c r="I19" i="24" l="1"/>
  <c r="C74" i="24"/>
  <c r="C69" i="24"/>
  <c r="C72" i="24"/>
  <c r="C71" i="24"/>
  <c r="C70" i="24"/>
  <c r="C73" i="24"/>
  <c r="K19" i="24" l="1"/>
  <c r="I69" i="24"/>
  <c r="I70" i="24"/>
  <c r="C68" i="24"/>
  <c r="I71" i="24"/>
  <c r="I73" i="24"/>
  <c r="I72" i="24"/>
  <c r="I74" i="24"/>
  <c r="I68" i="24" l="1"/>
  <c r="C95" i="24"/>
  <c r="O50" i="24" l="1"/>
  <c r="E68" i="24" s="1"/>
  <c r="K68" i="24" l="1"/>
  <c r="G68" i="24"/>
  <c r="K50" i="24"/>
  <c r="G5" i="24"/>
  <c r="I5" i="24" l="1"/>
  <c r="K5" i="24" s="1"/>
  <c r="K9" i="33" l="1"/>
  <c r="E56" i="24" s="1"/>
  <c r="K8" i="33"/>
  <c r="E55" i="24" s="1"/>
  <c r="K7" i="33"/>
  <c r="E54" i="24" s="1"/>
  <c r="K6" i="33"/>
  <c r="E53" i="24" s="1"/>
  <c r="K5" i="33"/>
  <c r="E52" i="24" s="1"/>
  <c r="K4" i="33"/>
  <c r="E51" i="24" s="1"/>
  <c r="K18" i="33" l="1"/>
  <c r="I16" i="24" l="1"/>
  <c r="O51" i="24"/>
  <c r="I51" i="24"/>
  <c r="G6" i="24" s="1"/>
  <c r="I56" i="24"/>
  <c r="G11" i="24" s="1"/>
  <c r="O56" i="24"/>
  <c r="I54" i="24"/>
  <c r="G9" i="24" s="1"/>
  <c r="O54" i="24"/>
  <c r="O55" i="24"/>
  <c r="I55" i="24"/>
  <c r="G10" i="24" s="1"/>
  <c r="O53" i="24"/>
  <c r="I53" i="24"/>
  <c r="G8" i="24" s="1"/>
  <c r="I52" i="24"/>
  <c r="G7" i="24" s="1"/>
  <c r="O52" i="24"/>
  <c r="I13" i="24"/>
  <c r="I14" i="24"/>
  <c r="K14" i="24" l="1"/>
  <c r="K13" i="24"/>
  <c r="K16" i="24"/>
  <c r="G71" i="24"/>
  <c r="E71" i="24"/>
  <c r="K71" i="24" s="1"/>
  <c r="G74" i="24"/>
  <c r="E74" i="24"/>
  <c r="K74" i="24" s="1"/>
  <c r="K51" i="24"/>
  <c r="G69" i="24"/>
  <c r="E69" i="24"/>
  <c r="K69" i="24" s="1"/>
  <c r="G70" i="24"/>
  <c r="E70" i="24"/>
  <c r="K70" i="24" s="1"/>
  <c r="E72" i="24"/>
  <c r="K72" i="24" s="1"/>
  <c r="G72" i="24"/>
  <c r="K53" i="24"/>
  <c r="K55" i="24"/>
  <c r="E73" i="24"/>
  <c r="K73" i="24" s="1"/>
  <c r="G73" i="24"/>
  <c r="K56" i="24"/>
  <c r="K52" i="24"/>
  <c r="K54" i="24"/>
  <c r="I17" i="24" l="1"/>
  <c r="K17" i="24" s="1"/>
  <c r="I10" i="24"/>
  <c r="I9" i="24"/>
  <c r="I11" i="24"/>
  <c r="I7" i="24"/>
  <c r="I8" i="24"/>
  <c r="I6" i="24"/>
  <c r="M7" i="24" l="1"/>
  <c r="M11" i="24"/>
  <c r="M8" i="24"/>
  <c r="M6" i="24"/>
  <c r="M9" i="24"/>
  <c r="M19" i="24"/>
  <c r="M17" i="24"/>
  <c r="M16" i="24"/>
  <c r="M14" i="24"/>
  <c r="M13" i="24"/>
  <c r="M10" i="24"/>
  <c r="K7" i="24"/>
  <c r="K6" i="24"/>
  <c r="K9" i="24"/>
  <c r="K8" i="24"/>
  <c r="M5" i="24"/>
  <c r="K11" i="24"/>
  <c r="K10" i="24"/>
</calcChain>
</file>

<file path=xl/sharedStrings.xml><?xml version="1.0" encoding="utf-8"?>
<sst xmlns="http://schemas.openxmlformats.org/spreadsheetml/2006/main" count="517" uniqueCount="186">
  <si>
    <t>O&amp;M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</si>
  <si>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</si>
  <si>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</si>
  <si>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</si>
  <si>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</si>
  <si>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</si>
  <si>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</si>
  <si>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 Carbondale</t>
  </si>
  <si>
    <t>Southern Illinois University Edwardsville</t>
  </si>
  <si>
    <t>University of Illinois at Chicago</t>
  </si>
  <si>
    <t>University of Illinois at Springfield</t>
  </si>
  <si>
    <t>University of Illinois at Urbana / Champaign</t>
  </si>
  <si>
    <t>Western Illinois University</t>
  </si>
  <si>
    <t>Institution</t>
  </si>
  <si>
    <t>Core Instruction Costs</t>
  </si>
  <si>
    <t>Mission</t>
  </si>
  <si>
    <t>Adequacy Gap</t>
  </si>
  <si>
    <t>Core Instruction</t>
  </si>
  <si>
    <t>Access</t>
  </si>
  <si>
    <t>High</t>
  </si>
  <si>
    <t>Medium</t>
  </si>
  <si>
    <t>Low</t>
  </si>
  <si>
    <t>Total Equity Adjustment Cost</t>
  </si>
  <si>
    <t>Illinois</t>
  </si>
  <si>
    <t>Intensive</t>
  </si>
  <si>
    <t>Academic and Non-Academic Supports (Undergrad)</t>
  </si>
  <si>
    <t>Acad/Non-Acad Supports (Grad/Prof)</t>
  </si>
  <si>
    <t>+</t>
  </si>
  <si>
    <t>=</t>
  </si>
  <si>
    <t>Total Equity Adjustment</t>
  </si>
  <si>
    <t>Total Adequacy Target</t>
  </si>
  <si>
    <t>Adequacy Target Summary</t>
  </si>
  <si>
    <t>Total Base 
Funding</t>
  </si>
  <si>
    <t>O&amp;M - Institutional Support</t>
  </si>
  <si>
    <t>Base Funding</t>
  </si>
  <si>
    <t>O&amp;M - Physical Plant (per sq ft)</t>
  </si>
  <si>
    <t>Institutional Support</t>
  </si>
  <si>
    <t>Adequacy</t>
  </si>
  <si>
    <t>Resource Profile</t>
  </si>
  <si>
    <t>Base Cost</t>
  </si>
  <si>
    <t>Adequacy Target</t>
  </si>
  <si>
    <t>Total Base Funding</t>
  </si>
  <si>
    <t>Equity Adjustment</t>
  </si>
  <si>
    <t>Access and Supports</t>
  </si>
  <si>
    <t>Degree-Seeking Headcount</t>
  </si>
  <si>
    <t>R1</t>
  </si>
  <si>
    <t>Masters</t>
  </si>
  <si>
    <t>R2</t>
  </si>
  <si>
    <t>R3</t>
  </si>
  <si>
    <t>Other Resources</t>
  </si>
  <si>
    <t>Total Resources Profile</t>
  </si>
  <si>
    <t>Resource Profile Summary</t>
  </si>
  <si>
    <t>-</t>
  </si>
  <si>
    <t>High-Cost</t>
  </si>
  <si>
    <t>Adequacy Target per Student</t>
  </si>
  <si>
    <t>Total Resources per Student</t>
  </si>
  <si>
    <t>Carnegie Classification</t>
  </si>
  <si>
    <t>Concentration Adjustment</t>
  </si>
  <si>
    <t>ESS Index</t>
  </si>
  <si>
    <t>All Programs</t>
  </si>
  <si>
    <t>High-Cost 
Add-On</t>
  </si>
  <si>
    <t>Equitable Student Share</t>
  </si>
  <si>
    <t>School Size Adjustment</t>
  </si>
  <si>
    <t>School Size</t>
  </si>
  <si>
    <t>Non-Lab Sq Ft</t>
  </si>
  <si>
    <t>Lab Sq Ft</t>
  </si>
  <si>
    <t>Share of Total $ Adequacy Gap</t>
  </si>
  <si>
    <t>ESS per student</t>
  </si>
  <si>
    <t>Percent of Adequacy Target Funded</t>
  </si>
  <si>
    <t>Other Resources per student</t>
  </si>
  <si>
    <t>Equity Adjustment per Student</t>
  </si>
  <si>
    <t>Base Funding Per Student</t>
  </si>
  <si>
    <t>State Approps per Student</t>
  </si>
  <si>
    <t>Equitable Student Share (ESS)</t>
  </si>
  <si>
    <t>State Share of Adequacy Per Student</t>
  </si>
  <si>
    <t>Student Share of Adequacy per Student</t>
  </si>
  <si>
    <t>Other Resources Share of Adequacy per Student</t>
  </si>
  <si>
    <t>Physical Plant</t>
  </si>
  <si>
    <t>Degree-Seeking UG</t>
  </si>
  <si>
    <t>Enrollment</t>
  </si>
  <si>
    <t>Future State Approps per Student when Fully Funded</t>
  </si>
  <si>
    <t>Supports</t>
  </si>
  <si>
    <t>Maximum Subsidy (for 0 students)</t>
  </si>
  <si>
    <t>Subsidy Percent</t>
  </si>
  <si>
    <t>Subsidy per student</t>
  </si>
  <si>
    <t>Max Enrollment for school size adjustment</t>
  </si>
  <si>
    <t>Concentration Factor</t>
  </si>
  <si>
    <t>Component</t>
  </si>
  <si>
    <t>Physical Plant - Sq Ft</t>
  </si>
  <si>
    <t>Minor Remodeling</t>
  </si>
  <si>
    <t>Adjustments</t>
  </si>
  <si>
    <t>Lab</t>
  </si>
  <si>
    <t>varies</t>
  </si>
  <si>
    <t>Degree Seeking UG &amp; Grad</t>
  </si>
  <si>
    <t>Carneigie Classification</t>
  </si>
  <si>
    <t>Increasing Diversity</t>
  </si>
  <si>
    <t>Research Adjustment</t>
  </si>
  <si>
    <t>Degree-Seeking Enrollment</t>
  </si>
  <si>
    <t>% of UGs in High/Intensive</t>
  </si>
  <si>
    <t>Threshold</t>
  </si>
  <si>
    <t>Mision</t>
  </si>
  <si>
    <t>Endowment Annual Spend</t>
  </si>
  <si>
    <t>Endowment Value (4yr Avg, System Adjusted)</t>
  </si>
  <si>
    <t>State Approps 
(Avg of FY21-23)</t>
  </si>
  <si>
    <t>Core Instruction Equity Adjustment</t>
  </si>
  <si>
    <t xml:space="preserve"> State Approps 
(FY21-23 avg)</t>
  </si>
  <si>
    <t>Category</t>
  </si>
  <si>
    <t>Amount</t>
  </si>
  <si>
    <t>% Enrolled in High Cost Programs</t>
  </si>
  <si>
    <t>% BIPOC Enrollment in High-Cost</t>
  </si>
  <si>
    <t>Headcount</t>
  </si>
  <si>
    <t>Source</t>
  </si>
  <si>
    <t>Data Element</t>
  </si>
  <si>
    <t>% Enrolled in High-Cost Programs</t>
  </si>
  <si>
    <t>IPEDS</t>
  </si>
  <si>
    <t>Square Footage</t>
  </si>
  <si>
    <t>IBHE Capital RAMP Tables F-3 and F-4</t>
  </si>
  <si>
    <t>Equity Adjustment Counts</t>
  </si>
  <si>
    <t>IBHE student-level data file (3yr average)</t>
  </si>
  <si>
    <t>IBHE Cost Study 2020</t>
  </si>
  <si>
    <t>State Appropriations</t>
  </si>
  <si>
    <t>Southern Illinois University - SOM</t>
  </si>
  <si>
    <t>% Enrolled in Other Health Professional Programs</t>
  </si>
  <si>
    <t>% BIPOC Enrollment in Other Health Prof Programs</t>
  </si>
  <si>
    <t>Other Health Prof</t>
  </si>
  <si>
    <t>SOM</t>
  </si>
  <si>
    <t>University of Illinois at Chicago - SOM</t>
  </si>
  <si>
    <t>University of Illinois at Urbana / Champaign - SOM</t>
  </si>
  <si>
    <t>Grand Total</t>
  </si>
  <si>
    <t>All Other</t>
  </si>
  <si>
    <t>High Cost</t>
  </si>
  <si>
    <t>URM</t>
  </si>
  <si>
    <t>BIPOC High-Cost as % of Total Enrollment
(V / AT)</t>
  </si>
  <si>
    <t>BIPOC Priority Health as % of Total Enroll
(AG / AT)</t>
  </si>
  <si>
    <t>BIPOC MD as % of Total Enroll
(AR / AT)</t>
  </si>
  <si>
    <t>Total</t>
  </si>
  <si>
    <t>SOM Adjusted ESS Index (SOMs reduced by 45%)</t>
  </si>
  <si>
    <t>% Enrolled in Medical programs</t>
  </si>
  <si>
    <t>% BIPOC Enrollment in Medical</t>
  </si>
  <si>
    <t>Notes</t>
  </si>
  <si>
    <t>State Approps and Sq Ft reported by UI-C</t>
  </si>
  <si>
    <t>State Approps and Sq Ft for SIU - SOM removed from SIU - Carbondale; Endowment Value allocated proportionally based on enrollment</t>
  </si>
  <si>
    <t>State Approps and Sq Ft for UIC - SOM removed from UI-C; ; Endowment Value allocated proportionally based on enrollment</t>
  </si>
  <si>
    <t>State Approps and Sq Ft for UI-UC - SOM removed from UI-UC; ; Endowment Value allocated proportionally based on enrollment</t>
  </si>
  <si>
    <t>% Enrolled in High Cost, excluding Priority Health and MD (From IBHE Cost Study 2020)</t>
  </si>
  <si>
    <t>Total Enrollment in High-Cost Programs 
(AW * AV)</t>
  </si>
  <si>
    <t>% All Enrolled in High Cost Programs
(AX / AT)</t>
  </si>
  <si>
    <t>Other Health Prof Programs</t>
  </si>
  <si>
    <t>Medical Programs</t>
  </si>
  <si>
    <t>Total Excluding Other Health Prof &amp; Medical
(AT - AS - AH)</t>
  </si>
  <si>
    <t>% Enrolled in Other Health Professional Programs
(AH / AT)</t>
  </si>
  <si>
    <t>% Enrolled in Medical programs
(AS / AT)</t>
  </si>
  <si>
    <t>BIPOC Enroll in High-Cost
(V / W)</t>
  </si>
  <si>
    <t>BIPOC Enroll in Other Health Prof
(AG / AH)</t>
  </si>
  <si>
    <t>BIPOC Enroll in Medical
(AR / AS)</t>
  </si>
  <si>
    <t>From IBHE Student-Level Data File</t>
  </si>
  <si>
    <t>% Enrolled in Health &amp; Med Programs</t>
  </si>
  <si>
    <t>Medical Add-On</t>
  </si>
  <si>
    <t>Increasing Diversity in Medical</t>
  </si>
  <si>
    <t>Percent of Students in Each Aggregate Subsidy Level</t>
  </si>
  <si>
    <t>Base Cost per Student</t>
  </si>
  <si>
    <t>Current Comparable Spending per Student</t>
  </si>
  <si>
    <t>Note: The Resource Profile includes the "Percent of Endowment Value" option for Other Resources considered by the Commission for the purpose of presenting a complete model only. It does not reflect a recommendation or decision by the Commission.</t>
  </si>
  <si>
    <t>Note: The cost factor and ESS subsidy levels for Schools of Medicine are still under discussion.  For the purposes of presenting a complete model, the model uses a 1100% cost factor and reduces each school's ESS Index by 45% (to reach a more reasonable and affordable level, similar to current tuition revenue per student).  This does not reflect a recommendation or decision by the Commission.</t>
  </si>
  <si>
    <t>% Enrolled in Medical Programs</t>
  </si>
  <si>
    <t>Other Health Prof Add-On</t>
  </si>
  <si>
    <t>Increasing Diversity in Other Health Prof</t>
  </si>
  <si>
    <t>Increasing Diversity in High-Cost</t>
  </si>
  <si>
    <t>Degree-Seeking Grad</t>
  </si>
  <si>
    <t>Endowment Value</t>
  </si>
  <si>
    <t>% BIPOC Enrolled in High-Cost, Health, Med Programs</t>
  </si>
  <si>
    <t>IBHE Approps Report (3yr average); SIU and UI system appropriations are allocated proportional to enrollment; line item appropriations are assigned to the actual campus receiving those funds</t>
  </si>
  <si>
    <t>Sq Ft reported by UI-C; State Approps uses proxy of the difference between in-state and out-of-state tuition times the number of students (~$13,000, similar to UI-C's self-reported per student state approp)</t>
  </si>
  <si>
    <t>State Approps and Sq Ft reported by SIU; State approps excludes $13.4m used to support residency costs as reported by SIU</t>
  </si>
  <si>
    <t>Share of enrollment in each subsidy level (Column headers reflect subsidy percentage;  ESS Index is the inverse, the share covered by tuition &amp; fees)</t>
  </si>
  <si>
    <t>TBD</t>
  </si>
  <si>
    <t>*</t>
  </si>
  <si>
    <t>* - Less than 10</t>
  </si>
  <si>
    <t>Foundation Subsidy</t>
  </si>
  <si>
    <t>Low-Income</t>
  </si>
  <si>
    <t>EBF Tier 1 and 2*</t>
  </si>
  <si>
    <t>Adult</t>
  </si>
  <si>
    <t>In-State</t>
  </si>
  <si>
    <t>Undergrad</t>
  </si>
  <si>
    <t>Grad</t>
  </si>
  <si>
    <t>Out-of-State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</si>
</sst>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"/>
    <numFmt numFmtId="170" formatCode="#,##0.0_);[Red]\(#,##0.0\)"/>
    <numFmt numFmtId="171" formatCode="_(&quot;$&quot;* #,##0.0_);_(&quot;$&quot;* \(#,##0.0\);_(&quot;$&quot;* &quot;-&quot;??_);_(@_)"/>
    <numFmt numFmtId="172" formatCode="_(* #,##0.0_);_(* \(#,##0.0\);_(* &quot;-&quot;??_);_(@_)"/>
    <numFmt numFmtId="173" formatCode="0.000%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0.0000000%"/>
  </numFmts>
  <fonts count="4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 (Body)"/>
    </font>
    <font>
      <b/>
      <sz val="12"/>
      <color theme="0"/>
      <name val="Calibri (Body)"/>
    </font>
    <font>
      <b/>
      <sz val="11"/>
      <color rgb="FF000000"/>
      <name val="Calibri"/>
      <family val="2"/>
    </font>
    <font>
      <b/>
      <sz val="11"/>
      <color theme="0"/>
      <name val="Calibri (Body)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Tw Cen MT"/>
      <family val="2"/>
    </font>
    <font>
      <sz val="14"/>
      <color rgb="FF000000"/>
      <name val="Tw Cen MT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rgb="FF000000"/>
      <name val="Tw Cen MT"/>
      <family val="2"/>
    </font>
    <font>
      <sz val="14"/>
      <color theme="1"/>
      <name val="Tw Cen MT"/>
      <family val="2"/>
    </font>
    <font>
      <b/>
      <sz val="14"/>
      <color theme="1"/>
      <name val="Tw Cen MT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 (Body)"/>
    </font>
    <font>
      <b/>
      <sz val="12"/>
      <name val="Calibri"/>
      <family val="2"/>
    </font>
    <font>
      <b/>
      <sz val="12"/>
      <color rgb="FF000000"/>
      <name val="Tw Cen MT"/>
      <family val="2"/>
    </font>
    <font>
      <sz val="12"/>
      <color rgb="FF000000"/>
      <name val="Tw Cen MT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6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0" borderId="0"/>
  </cellStyleXfs>
  <cellXfs count="235">
    <xf numFmtId="0" fontId="0" fillId="0" borderId="0" xfId="0"/>
    <xf numFmtId="0" fontId="2" fillId="0" borderId="0" xfId="1"/>
    <xf numFmtId="9" fontId="0" fillId="0" borderId="0" xfId="4" applyFont="1"/>
    <xf numFmtId="38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5" fontId="0" fillId="0" borderId="0" xfId="5" applyNumberFormat="1" applyFont="1"/>
    <xf numFmtId="0" fontId="4" fillId="0" borderId="1" xfId="0" applyFont="1" applyBorder="1"/>
    <xf numFmtId="0" fontId="0" fillId="0" borderId="0" xfId="0" applyAlignment="1">
      <alignment vertical="center" wrapText="1"/>
    </xf>
    <xf numFmtId="6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0" fillId="3" borderId="0" xfId="0" applyNumberFormat="1" applyFill="1"/>
    <xf numFmtId="164" fontId="4" fillId="3" borderId="0" xfId="0" applyNumberFormat="1" applyFont="1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textRotation="90"/>
    </xf>
    <xf numFmtId="166" fontId="0" fillId="0" borderId="0" xfId="0" applyNumberFormat="1"/>
    <xf numFmtId="0" fontId="0" fillId="0" borderId="1" xfId="0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 textRotation="90" wrapText="1"/>
    </xf>
    <xf numFmtId="6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4" fillId="0" borderId="0" xfId="0" applyNumberFormat="1" applyFont="1"/>
    <xf numFmtId="0" fontId="9" fillId="0" borderId="0" xfId="0" applyFont="1" applyAlignment="1">
      <alignment wrapText="1"/>
    </xf>
    <xf numFmtId="6" fontId="4" fillId="4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3" xfId="0" applyFont="1" applyBorder="1" applyAlignment="1">
      <alignment horizontal="center" vertical="center" wrapText="1"/>
    </xf>
    <xf numFmtId="164" fontId="0" fillId="0" borderId="5" xfId="0" applyNumberFormat="1" applyBorder="1"/>
    <xf numFmtId="164" fontId="4" fillId="0" borderId="1" xfId="0" applyNumberFormat="1" applyFont="1" applyBorder="1"/>
    <xf numFmtId="0" fontId="0" fillId="0" borderId="2" xfId="0" applyBorder="1"/>
    <xf numFmtId="0" fontId="2" fillId="0" borderId="4" xfId="1" applyBorder="1"/>
    <xf numFmtId="0" fontId="4" fillId="0" borderId="6" xfId="1" applyFont="1" applyBorder="1"/>
    <xf numFmtId="164" fontId="4" fillId="0" borderId="7" xfId="0" applyNumberFormat="1" applyFont="1" applyBorder="1"/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164" fontId="4" fillId="2" borderId="1" xfId="0" applyNumberFormat="1" applyFont="1" applyFill="1" applyBorder="1" applyAlignment="1">
      <alignment horizontal="center" vertical="center" wrapText="1"/>
    </xf>
    <xf numFmtId="38" fontId="0" fillId="4" borderId="0" xfId="0" applyNumberFormat="1" applyFill="1"/>
    <xf numFmtId="38" fontId="4" fillId="4" borderId="0" xfId="0" applyNumberFormat="1" applyFont="1" applyFill="1"/>
    <xf numFmtId="167" fontId="0" fillId="4" borderId="0" xfId="6" applyNumberFormat="1" applyFont="1" applyFill="1" applyBorder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2" fillId="0" borderId="0" xfId="1" applyNumberFormat="1"/>
    <xf numFmtId="0" fontId="4" fillId="0" borderId="2" xfId="0" applyFont="1" applyBorder="1" applyAlignment="1">
      <alignment horizontal="center" vertical="center" wrapText="1"/>
    </xf>
    <xf numFmtId="168" fontId="0" fillId="0" borderId="0" xfId="4" applyNumberFormat="1" applyFont="1"/>
    <xf numFmtId="167" fontId="0" fillId="0" borderId="0" xfId="0" applyNumberFormat="1"/>
    <xf numFmtId="164" fontId="16" fillId="0" borderId="0" xfId="0" applyNumberFormat="1" applyFont="1"/>
    <xf numFmtId="164" fontId="12" fillId="0" borderId="0" xfId="0" applyNumberFormat="1" applyFont="1"/>
    <xf numFmtId="0" fontId="11" fillId="0" borderId="0" xfId="1" applyFont="1"/>
    <xf numFmtId="38" fontId="11" fillId="0" borderId="0" xfId="0" applyNumberFormat="1" applyFont="1"/>
    <xf numFmtId="164" fontId="17" fillId="0" borderId="0" xfId="0" applyNumberFormat="1" applyFont="1"/>
    <xf numFmtId="164" fontId="13" fillId="0" borderId="0" xfId="0" applyNumberFormat="1" applyFont="1"/>
    <xf numFmtId="168" fontId="0" fillId="0" borderId="0" xfId="0" applyNumberFormat="1"/>
    <xf numFmtId="167" fontId="4" fillId="4" borderId="0" xfId="6" applyNumberFormat="1" applyFont="1" applyFill="1" applyBorder="1"/>
    <xf numFmtId="0" fontId="18" fillId="0" borderId="0" xfId="0" applyFont="1" applyAlignment="1">
      <alignment vertical="center" wrapText="1"/>
    </xf>
    <xf numFmtId="10" fontId="0" fillId="0" borderId="0" xfId="0" applyNumberFormat="1"/>
    <xf numFmtId="38" fontId="4" fillId="0" borderId="1" xfId="0" applyNumberFormat="1" applyFont="1" applyBorder="1"/>
    <xf numFmtId="164" fontId="4" fillId="3" borderId="1" xfId="0" applyNumberFormat="1" applyFont="1" applyFill="1" applyBorder="1"/>
    <xf numFmtId="0" fontId="4" fillId="3" borderId="3" xfId="0" applyFont="1" applyFill="1" applyBorder="1" applyAlignment="1">
      <alignment horizontal="center" vertical="center" wrapText="1"/>
    </xf>
    <xf numFmtId="9" fontId="4" fillId="2" borderId="1" xfId="4" applyFont="1" applyFill="1" applyBorder="1" applyAlignment="1">
      <alignment horizontal="center" vertical="center" wrapText="1"/>
    </xf>
    <xf numFmtId="9" fontId="11" fillId="2" borderId="0" xfId="0" applyNumberFormat="1" applyFont="1" applyFill="1" applyAlignment="1">
      <alignment horizontal="center"/>
    </xf>
    <xf numFmtId="168" fontId="0" fillId="0" borderId="0" xfId="4" applyNumberFormat="1" applyFont="1" applyBorder="1"/>
    <xf numFmtId="168" fontId="0" fillId="0" borderId="5" xfId="4" applyNumberFormat="1" applyFont="1" applyBorder="1"/>
    <xf numFmtId="164" fontId="19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7" fillId="0" borderId="0" xfId="0" applyFont="1"/>
    <xf numFmtId="164" fontId="0" fillId="0" borderId="0" xfId="4" applyNumberFormat="1" applyFont="1" applyFill="1"/>
    <xf numFmtId="168" fontId="0" fillId="0" borderId="0" xfId="4" applyNumberFormat="1" applyFont="1" applyFill="1"/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9" fontId="0" fillId="0" borderId="0" xfId="4" applyFont="1" applyAlignment="1">
      <alignment horizontal="right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0" fillId="0" borderId="0" xfId="0" applyFont="1"/>
    <xf numFmtId="44" fontId="0" fillId="0" borderId="0" xfId="5" applyFont="1"/>
    <xf numFmtId="0" fontId="4" fillId="0" borderId="3" xfId="0" applyFont="1" applyBorder="1" applyAlignment="1">
      <alignment vertical="center"/>
    </xf>
    <xf numFmtId="0" fontId="4" fillId="0" borderId="1" xfId="1" applyFont="1" applyBorder="1"/>
    <xf numFmtId="168" fontId="4" fillId="0" borderId="1" xfId="4" applyNumberFormat="1" applyFont="1" applyBorder="1"/>
    <xf numFmtId="9" fontId="0" fillId="0" borderId="0" xfId="4" applyFont="1" applyBorder="1"/>
    <xf numFmtId="9" fontId="4" fillId="0" borderId="1" xfId="4" applyFont="1" applyBorder="1"/>
    <xf numFmtId="0" fontId="4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64" fontId="10" fillId="0" borderId="1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9" fontId="18" fillId="0" borderId="0" xfId="4" applyFont="1" applyAlignment="1">
      <alignment horizontal="left" vertical="center" wrapText="1"/>
    </xf>
    <xf numFmtId="6" fontId="9" fillId="0" borderId="0" xfId="0" applyNumberFormat="1" applyFont="1" applyAlignment="1">
      <alignment wrapText="1"/>
    </xf>
    <xf numFmtId="167" fontId="7" fillId="0" borderId="0" xfId="0" applyNumberFormat="1" applyFont="1"/>
    <xf numFmtId="44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/>
    <xf numFmtId="0" fontId="6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167" fontId="25" fillId="0" borderId="0" xfId="6" applyNumberFormat="1" applyFont="1"/>
    <xf numFmtId="165" fontId="25" fillId="0" borderId="0" xfId="5" applyNumberFormat="1" applyFont="1"/>
    <xf numFmtId="165" fontId="25" fillId="0" borderId="0" xfId="0" applyNumberFormat="1" applyFont="1"/>
    <xf numFmtId="167" fontId="26" fillId="0" borderId="0" xfId="6" applyNumberFormat="1" applyFont="1"/>
    <xf numFmtId="165" fontId="26" fillId="0" borderId="0" xfId="5" applyNumberFormat="1" applyFont="1"/>
    <xf numFmtId="165" fontId="26" fillId="0" borderId="0" xfId="0" applyNumberFormat="1" applyFont="1"/>
    <xf numFmtId="0" fontId="26" fillId="0" borderId="0" xfId="0" applyFont="1"/>
    <xf numFmtId="9" fontId="25" fillId="0" borderId="0" xfId="4" applyFont="1"/>
    <xf numFmtId="0" fontId="6" fillId="0" borderId="0" xfId="0" applyFont="1" applyAlignment="1">
      <alignment wrapText="1"/>
    </xf>
    <xf numFmtId="9" fontId="26" fillId="0" borderId="0" xfId="4" applyFont="1"/>
    <xf numFmtId="165" fontId="7" fillId="0" borderId="0" xfId="5" applyNumberFormat="1" applyFont="1"/>
    <xf numFmtId="9" fontId="7" fillId="0" borderId="0" xfId="4" applyFont="1"/>
    <xf numFmtId="38" fontId="7" fillId="0" borderId="0" xfId="0" applyNumberFormat="1" applyFont="1" applyAlignment="1">
      <alignment horizontal="right"/>
    </xf>
    <xf numFmtId="38" fontId="6" fillId="0" borderId="0" xfId="0" applyNumberFormat="1" applyFont="1" applyAlignment="1">
      <alignment horizontal="right"/>
    </xf>
    <xf numFmtId="171" fontId="7" fillId="0" borderId="0" xfId="0" applyNumberFormat="1" applyFont="1"/>
    <xf numFmtId="169" fontId="7" fillId="0" borderId="0" xfId="0" applyNumberFormat="1" applyFont="1"/>
    <xf numFmtId="165" fontId="7" fillId="0" borderId="0" xfId="0" applyNumberFormat="1" applyFont="1" applyAlignment="1">
      <alignment horizontal="right"/>
    </xf>
    <xf numFmtId="172" fontId="7" fillId="0" borderId="0" xfId="6" applyNumberFormat="1" applyFont="1" applyAlignment="1">
      <alignment horizontal="right"/>
    </xf>
    <xf numFmtId="168" fontId="7" fillId="0" borderId="0" xfId="4" applyNumberFormat="1" applyFont="1"/>
    <xf numFmtId="0" fontId="4" fillId="2" borderId="0" xfId="0" applyFont="1" applyFill="1" applyAlignment="1">
      <alignment horizontal="center" vertical="center"/>
    </xf>
    <xf numFmtId="0" fontId="2" fillId="0" borderId="8" xfId="1" applyBorder="1"/>
    <xf numFmtId="38" fontId="0" fillId="0" borderId="2" xfId="0" applyNumberFormat="1" applyBorder="1"/>
    <xf numFmtId="167" fontId="0" fillId="0" borderId="2" xfId="6" applyNumberFormat="1" applyFont="1" applyBorder="1"/>
    <xf numFmtId="172" fontId="0" fillId="0" borderId="2" xfId="6" applyNumberFormat="1" applyFont="1" applyBorder="1"/>
    <xf numFmtId="167" fontId="0" fillId="0" borderId="0" xfId="6" applyNumberFormat="1" applyFont="1" applyFill="1" applyBorder="1"/>
    <xf numFmtId="167" fontId="0" fillId="0" borderId="0" xfId="6" applyNumberFormat="1" applyFont="1" applyBorder="1"/>
    <xf numFmtId="172" fontId="0" fillId="0" borderId="0" xfId="6" applyNumberFormat="1" applyFont="1" applyBorder="1"/>
    <xf numFmtId="38" fontId="11" fillId="0" borderId="1" xfId="0" applyNumberFormat="1" applyFont="1" applyBorder="1"/>
    <xf numFmtId="173" fontId="0" fillId="0" borderId="0" xfId="4" applyNumberFormat="1" applyFont="1" applyBorder="1"/>
    <xf numFmtId="174" fontId="7" fillId="0" borderId="0" xfId="0" applyNumberFormat="1" applyFont="1"/>
    <xf numFmtId="171" fontId="6" fillId="0" borderId="0" xfId="0" applyNumberFormat="1" applyFont="1"/>
    <xf numFmtId="0" fontId="27" fillId="0" borderId="0" xfId="0" applyFont="1"/>
    <xf numFmtId="0" fontId="0" fillId="0" borderId="0" xfId="0" applyAlignment="1">
      <alignment horizontal="left" indent="1"/>
    </xf>
    <xf numFmtId="9" fontId="0" fillId="0" borderId="0" xfId="4" applyFont="1" applyAlignment="1">
      <alignment horizontal="center"/>
    </xf>
    <xf numFmtId="9" fontId="4" fillId="0" borderId="0" xfId="4" applyFont="1" applyAlignment="1">
      <alignment horizontal="center"/>
    </xf>
    <xf numFmtId="175" fontId="7" fillId="0" borderId="0" xfId="0" applyNumberFormat="1" applyFont="1"/>
    <xf numFmtId="167" fontId="7" fillId="0" borderId="0" xfId="6" applyNumberFormat="1" applyFont="1"/>
    <xf numFmtId="3" fontId="21" fillId="0" borderId="0" xfId="0" applyNumberFormat="1" applyFont="1" applyAlignment="1">
      <alignment vertical="center"/>
    </xf>
    <xf numFmtId="172" fontId="0" fillId="0" borderId="0" xfId="6" applyNumberFormat="1" applyFont="1" applyFill="1" applyBorder="1"/>
    <xf numFmtId="9" fontId="7" fillId="0" borderId="0" xfId="4" applyFont="1" applyFill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wrapText="1"/>
    </xf>
    <xf numFmtId="168" fontId="5" fillId="0" borderId="0" xfId="0" applyNumberFormat="1" applyFont="1"/>
    <xf numFmtId="0" fontId="20" fillId="0" borderId="0" xfId="0" applyFont="1" applyAlignment="1">
      <alignment horizontal="center" wrapText="1"/>
    </xf>
    <xf numFmtId="168" fontId="5" fillId="0" borderId="0" xfId="4" applyNumberFormat="1" applyFont="1"/>
    <xf numFmtId="168" fontId="8" fillId="0" borderId="0" xfId="4" applyNumberFormat="1" applyFont="1"/>
    <xf numFmtId="3" fontId="20" fillId="0" borderId="0" xfId="0" applyNumberFormat="1" applyFont="1" applyAlignment="1">
      <alignment vertical="center"/>
    </xf>
    <xf numFmtId="0" fontId="5" fillId="0" borderId="0" xfId="0" applyFont="1"/>
    <xf numFmtId="0" fontId="20" fillId="0" borderId="0" xfId="0" applyFont="1" applyAlignment="1">
      <alignment horizontal="center" vertical="center" wrapText="1"/>
    </xf>
    <xf numFmtId="9" fontId="0" fillId="0" borderId="0" xfId="4" applyFont="1" applyFill="1" applyBorder="1"/>
    <xf numFmtId="168" fontId="31" fillId="0" borderId="0" xfId="4" applyNumberFormat="1" applyFont="1" applyFill="1" applyBorder="1"/>
    <xf numFmtId="168" fontId="29" fillId="0" borderId="1" xfId="4" applyNumberFormat="1" applyFont="1" applyFill="1" applyBorder="1"/>
    <xf numFmtId="164" fontId="0" fillId="0" borderId="0" xfId="0" applyNumberFormat="1" applyAlignment="1">
      <alignment horizontal="right" vertical="top"/>
    </xf>
    <xf numFmtId="167" fontId="2" fillId="0" borderId="0" xfId="6" applyNumberFormat="1" applyFont="1" applyBorder="1"/>
    <xf numFmtId="167" fontId="32" fillId="0" borderId="0" xfId="6" applyNumberFormat="1" applyFont="1" applyBorder="1"/>
    <xf numFmtId="167" fontId="30" fillId="0" borderId="0" xfId="0" applyNumberFormat="1" applyFont="1"/>
    <xf numFmtId="167" fontId="32" fillId="0" borderId="0" xfId="6" applyNumberFormat="1" applyFont="1" applyFill="1" applyBorder="1"/>
    <xf numFmtId="6" fontId="4" fillId="0" borderId="10" xfId="0" applyNumberFormat="1" applyFont="1" applyBorder="1" applyAlignment="1">
      <alignment horizontal="center" vertical="center" wrapText="1"/>
    </xf>
    <xf numFmtId="6" fontId="4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5" fontId="0" fillId="0" borderId="0" xfId="5" applyNumberFormat="1" applyFont="1" applyBorder="1"/>
    <xf numFmtId="168" fontId="0" fillId="4" borderId="0" xfId="4" applyNumberFormat="1" applyFont="1" applyFill="1"/>
    <xf numFmtId="168" fontId="4" fillId="4" borderId="0" xfId="4" applyNumberFormat="1" applyFont="1" applyFill="1"/>
    <xf numFmtId="0" fontId="9" fillId="4" borderId="4" xfId="1" applyFont="1" applyFill="1" applyBorder="1"/>
    <xf numFmtId="38" fontId="9" fillId="4" borderId="0" xfId="0" applyNumberFormat="1" applyFont="1" applyFill="1"/>
    <xf numFmtId="0" fontId="9" fillId="4" borderId="0" xfId="1" applyFont="1" applyFill="1"/>
    <xf numFmtId="164" fontId="9" fillId="4" borderId="0" xfId="0" applyNumberFormat="1" applyFont="1" applyFill="1"/>
    <xf numFmtId="0" fontId="9" fillId="4" borderId="0" xfId="0" applyFont="1" applyFill="1"/>
    <xf numFmtId="2" fontId="0" fillId="0" borderId="0" xfId="0" applyNumberFormat="1"/>
    <xf numFmtId="176" fontId="0" fillId="0" borderId="0" xfId="4" applyNumberFormat="1" applyFont="1"/>
    <xf numFmtId="167" fontId="11" fillId="0" borderId="1" xfId="0" applyNumberFormat="1" applyFont="1" applyBorder="1"/>
    <xf numFmtId="168" fontId="9" fillId="4" borderId="0" xfId="4" applyNumberFormat="1" applyFont="1" applyFill="1" applyBorder="1"/>
    <xf numFmtId="9" fontId="35" fillId="0" borderId="0" xfId="0" applyNumberFormat="1" applyFont="1" applyAlignment="1">
      <alignment vertical="center"/>
    </xf>
    <xf numFmtId="168" fontId="34" fillId="0" borderId="0" xfId="0" applyNumberFormat="1" applyFont="1" applyAlignment="1">
      <alignment vertical="center"/>
    </xf>
    <xf numFmtId="0" fontId="1" fillId="0" borderId="0" xfId="0" applyFont="1"/>
    <xf numFmtId="9" fontId="20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0" fontId="0" fillId="0" borderId="0" xfId="4" applyNumberFormat="1" applyFont="1"/>
    <xf numFmtId="0" fontId="36" fillId="0" borderId="0" xfId="0" applyFont="1"/>
    <xf numFmtId="9" fontId="36" fillId="0" borderId="0" xfId="0" applyNumberFormat="1" applyFont="1"/>
    <xf numFmtId="9" fontId="37" fillId="0" borderId="0" xfId="0" applyNumberFormat="1" applyFont="1"/>
    <xf numFmtId="0" fontId="4" fillId="0" borderId="0" xfId="1" applyFont="1"/>
    <xf numFmtId="170" fontId="0" fillId="0" borderId="0" xfId="0" applyNumberFormat="1" applyAlignment="1">
      <alignment horizontal="center"/>
    </xf>
    <xf numFmtId="165" fontId="30" fillId="0" borderId="0" xfId="0" applyNumberFormat="1" applyFont="1"/>
    <xf numFmtId="167" fontId="6" fillId="0" borderId="0" xfId="6" applyNumberFormat="1" applyFont="1"/>
    <xf numFmtId="9" fontId="6" fillId="0" borderId="0" xfId="4" applyFont="1"/>
    <xf numFmtId="164" fontId="0" fillId="0" borderId="0" xfId="5" applyNumberFormat="1" applyFont="1"/>
    <xf numFmtId="164" fontId="4" fillId="0" borderId="0" xfId="5" applyNumberFormat="1" applyFont="1"/>
    <xf numFmtId="0" fontId="6" fillId="0" borderId="1" xfId="0" applyFont="1" applyBorder="1" applyAlignment="1">
      <alignment horizontal="center"/>
    </xf>
    <xf numFmtId="164" fontId="9" fillId="4" borderId="0" xfId="0" applyNumberFormat="1" applyFont="1" applyFill="1" applyAlignment="1">
      <alignment horizontal="right"/>
    </xf>
    <xf numFmtId="164" fontId="19" fillId="4" borderId="0" xfId="0" applyNumberFormat="1" applyFont="1" applyFill="1" applyAlignment="1">
      <alignment horizontal="right" vertical="center"/>
    </xf>
    <xf numFmtId="164" fontId="10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right"/>
    </xf>
    <xf numFmtId="168" fontId="9" fillId="4" borderId="0" xfId="4" applyNumberFormat="1" applyFont="1" applyFill="1" applyBorder="1" applyAlignment="1">
      <alignment horizontal="right"/>
    </xf>
    <xf numFmtId="168" fontId="9" fillId="4" borderId="5" xfId="4" applyNumberFormat="1" applyFont="1" applyFill="1" applyBorder="1" applyAlignment="1">
      <alignment horizontal="right"/>
    </xf>
    <xf numFmtId="168" fontId="4" fillId="0" borderId="7" xfId="4" applyNumberFormat="1" applyFont="1" applyBorder="1"/>
    <xf numFmtId="164" fontId="38" fillId="4" borderId="0" xfId="0" applyNumberFormat="1" applyFont="1" applyFill="1" applyAlignment="1">
      <alignment vertical="center"/>
    </xf>
    <xf numFmtId="164" fontId="9" fillId="4" borderId="5" xfId="0" applyNumberFormat="1" applyFont="1" applyFill="1" applyBorder="1" applyAlignment="1">
      <alignment horizontal="right"/>
    </xf>
    <xf numFmtId="3" fontId="21" fillId="0" borderId="0" xfId="0" applyNumberFormat="1" applyFont="1" applyAlignment="1">
      <alignment horizontal="right" vertical="center"/>
    </xf>
    <xf numFmtId="0" fontId="39" fillId="0" borderId="11" xfId="0" applyFont="1" applyBorder="1" applyAlignment="1">
      <alignment horizontal="left" vertical="center" wrapText="1" indent="1"/>
    </xf>
    <xf numFmtId="0" fontId="40" fillId="0" borderId="11" xfId="0" applyFont="1" applyBorder="1" applyAlignment="1">
      <alignment horizontal="center" vertical="center" wrapText="1" readingOrder="1"/>
    </xf>
    <xf numFmtId="0" fontId="40" fillId="10" borderId="14" xfId="0" applyFont="1" applyFill="1" applyBorder="1" applyAlignment="1">
      <alignment horizontal="left" vertical="center" wrapText="1" indent="1" readingOrder="1"/>
    </xf>
    <xf numFmtId="9" fontId="40" fillId="0" borderId="14" xfId="0" applyNumberFormat="1" applyFont="1" applyBorder="1" applyAlignment="1">
      <alignment horizontal="center" vertical="center" wrapText="1" readingOrder="1"/>
    </xf>
    <xf numFmtId="0" fontId="40" fillId="10" borderId="15" xfId="0" applyFont="1" applyFill="1" applyBorder="1" applyAlignment="1">
      <alignment horizontal="left" vertical="center" wrapText="1" indent="1" readingOrder="1"/>
    </xf>
    <xf numFmtId="9" fontId="40" fillId="0" borderId="15" xfId="0" applyNumberFormat="1" applyFont="1" applyBorder="1" applyAlignment="1">
      <alignment horizontal="center" vertical="center" wrapText="1" readingOrder="1"/>
    </xf>
    <xf numFmtId="0" fontId="39" fillId="11" borderId="15" xfId="0" applyFont="1" applyFill="1" applyBorder="1" applyAlignment="1">
      <alignment horizontal="center" vertical="center" wrapText="1"/>
    </xf>
    <xf numFmtId="0" fontId="40" fillId="10" borderId="20" xfId="0" applyFont="1" applyFill="1" applyBorder="1" applyAlignment="1">
      <alignment horizontal="left" vertical="center" wrapText="1" indent="1" readingOrder="1"/>
    </xf>
    <xf numFmtId="9" fontId="40" fillId="0" borderId="20" xfId="0" applyNumberFormat="1" applyFont="1" applyBorder="1" applyAlignment="1">
      <alignment horizontal="center" vertical="center" wrapText="1" readingOrder="1"/>
    </xf>
    <xf numFmtId="0" fontId="39" fillId="11" borderId="20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right"/>
    </xf>
    <xf numFmtId="0" fontId="8" fillId="7" borderId="0" xfId="0" applyFont="1" applyFill="1" applyAlignment="1">
      <alignment horizontal="center"/>
    </xf>
    <xf numFmtId="0" fontId="9" fillId="4" borderId="0" xfId="1" applyFont="1" applyFill="1" applyAlignment="1">
      <alignment horizontal="left" wrapText="1"/>
    </xf>
    <xf numFmtId="0" fontId="9" fillId="4" borderId="2" xfId="1" applyFont="1" applyFill="1" applyBorder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40" fillId="10" borderId="12" xfId="0" applyFont="1" applyFill="1" applyBorder="1" applyAlignment="1">
      <alignment horizontal="left" vertical="center" wrapText="1" indent="1" readingOrder="1"/>
    </xf>
    <xf numFmtId="0" fontId="40" fillId="10" borderId="13" xfId="0" applyFont="1" applyFill="1" applyBorder="1" applyAlignment="1">
      <alignment horizontal="left" vertical="center" wrapText="1" indent="1" readingOrder="1"/>
    </xf>
    <xf numFmtId="0" fontId="40" fillId="10" borderId="16" xfId="0" applyFont="1" applyFill="1" applyBorder="1" applyAlignment="1">
      <alignment horizontal="left" vertical="center" wrapText="1" indent="1" readingOrder="1"/>
    </xf>
    <xf numFmtId="0" fontId="40" fillId="10" borderId="17" xfId="0" applyFont="1" applyFill="1" applyBorder="1" applyAlignment="1">
      <alignment horizontal="left" vertical="center" wrapText="1" indent="1" readingOrder="1"/>
    </xf>
    <xf numFmtId="9" fontId="40" fillId="0" borderId="18" xfId="0" applyNumberFormat="1" applyFont="1" applyBorder="1" applyAlignment="1">
      <alignment horizontal="center" vertical="center" wrapText="1" readingOrder="1"/>
    </xf>
    <xf numFmtId="9" fontId="40" fillId="0" borderId="19" xfId="0" applyNumberFormat="1" applyFont="1" applyBorder="1" applyAlignment="1">
      <alignment horizontal="center" vertical="center" wrapText="1" readingOrder="1"/>
    </xf>
    <xf numFmtId="0" fontId="21" fillId="8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21" fillId="8" borderId="0" xfId="0" applyFont="1" applyFill="1" applyAlignment="1">
      <alignment horizontal="center" wrapText="1"/>
    </xf>
    <xf numFmtId="0" fontId="21" fillId="9" borderId="0" xfId="0" applyFont="1" applyFill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</cellXfs>
  <cellStyles count="8">
    <cellStyle name="Comma" xfId="6" builtinId="3"/>
    <cellStyle name="Comma 2" xfId="3" xr:uid="{AF63A642-F713-4423-9934-15FE53CB45CF}"/>
    <cellStyle name="Currency" xfId="5" builtinId="4"/>
    <cellStyle name="Normal" xfId="0" builtinId="0"/>
    <cellStyle name="Normal 2" xfId="2" xr:uid="{9748FF3B-8D00-4C8B-86DA-28A504D3AC8A}"/>
    <cellStyle name="Normal 2 2" xfId="7" xr:uid="{C26C6787-4593-4E45-AB91-41A7FA729A5D}"/>
    <cellStyle name="Normal 3" xfId="1" xr:uid="{C84E3B76-4A9A-4F57-850D-3DE5F09380A8}"/>
    <cellStyle name="Percent" xfId="4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E9C76-013F-2B4B-B175-8CB6CE7D57B6}">
  <sheetPr codeName="Sheet3">
    <tabColor theme="9"/>
  </sheetPr>
  <dimension ref="B1:S97"/>
  <sheetViews>
    <sheetView showGridLines="0" tabSelected="1" zoomScale="110" zoomScaleNormal="110" workbookViewId="0">
      <selection activeCell="B70" sqref="B70"/>
    </sheetView>
  </sheetViews>
  <sheetFormatPr defaultColWidth="10.90625" defaultRowHeight="14.5"/>
  <cols>
    <col min="1" max="1" width="3.1796875" customWidth="1"/>
    <col min="2" max="2" width="40.1796875" customWidth="1"/>
    <col min="3" max="3" width="14.1796875" customWidth="1"/>
    <col min="4" max="4" width="2.36328125" customWidth="1"/>
    <col min="5" max="5" width="14.1796875" customWidth="1"/>
    <col min="6" max="6" width="2.36328125" customWidth="1"/>
    <col min="7" max="7" width="13.6328125" customWidth="1"/>
    <col min="8" max="8" width="2.36328125" customWidth="1"/>
    <col min="9" max="9" width="13.6328125" customWidth="1"/>
    <col min="10" max="10" width="2.6328125" customWidth="1"/>
    <col min="11" max="11" width="14" customWidth="1"/>
    <col min="12" max="12" width="2.6328125" customWidth="1"/>
    <col min="13" max="13" width="13.36328125" customWidth="1"/>
    <col min="14" max="14" width="2.81640625" customWidth="1"/>
    <col min="15" max="15" width="16.6328125" customWidth="1"/>
    <col min="16" max="16" width="2.81640625" customWidth="1"/>
    <col min="17" max="17" width="16.6328125" customWidth="1"/>
    <col min="18" max="18" width="2.81640625" customWidth="1"/>
    <col min="19" max="19" width="16.6328125" customWidth="1"/>
    <col min="20" max="23" width="14.81640625" customWidth="1"/>
    <col min="24" max="25" width="19.81640625" customWidth="1"/>
    <col min="26" max="26" width="16.1796875" customWidth="1"/>
    <col min="27" max="27" width="14.453125" customWidth="1"/>
  </cols>
  <sheetData>
    <row r="1" spans="2:15" ht="15" customHeight="1"/>
    <row r="2" spans="2:15" ht="18.5">
      <c r="B2" s="213" t="s">
        <v>16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8"/>
    </row>
    <row r="3" spans="2:15" ht="15" customHeight="1"/>
    <row r="4" spans="2:15" ht="43.5">
      <c r="B4" s="74" t="s">
        <v>13</v>
      </c>
      <c r="C4" s="29" t="s">
        <v>97</v>
      </c>
      <c r="D4" s="81"/>
      <c r="E4" s="29" t="s">
        <v>40</v>
      </c>
      <c r="F4" s="32"/>
      <c r="G4" s="29" t="s">
        <v>38</v>
      </c>
      <c r="H4" s="32"/>
      <c r="I4" s="29" t="s">
        <v>16</v>
      </c>
      <c r="J4" s="32"/>
      <c r="K4" s="29" t="s">
        <v>68</v>
      </c>
      <c r="L4" s="32"/>
      <c r="M4" s="75" t="s">
        <v>66</v>
      </c>
    </row>
    <row r="5" spans="2:15" ht="15" customHeight="1">
      <c r="B5" s="122" t="s">
        <v>1</v>
      </c>
      <c r="C5" s="3">
        <f>VLOOKUP(B5,'School Data'!$B$2:$AA$18,4,FALSE)</f>
        <v>2321.6666666666665</v>
      </c>
      <c r="D5" s="1"/>
      <c r="E5" s="4">
        <f>G30</f>
        <v>73946648.641697019</v>
      </c>
      <c r="F5" s="69" t="s">
        <v>52</v>
      </c>
      <c r="G5" s="4">
        <f>I50</f>
        <v>51438568.595577426</v>
      </c>
      <c r="H5" s="70" t="s">
        <v>28</v>
      </c>
      <c r="I5" s="4">
        <f t="shared" ref="I5:I19" si="0">E5-G5</f>
        <v>22508080.046119593</v>
      </c>
      <c r="K5" s="67">
        <f>1-I5/E5</f>
        <v>0.69561730707796077</v>
      </c>
      <c r="L5" s="4"/>
      <c r="M5" s="68">
        <f>I5/$I$20</f>
        <v>1.5985195309438708E-2</v>
      </c>
      <c r="O5" s="61"/>
    </row>
    <row r="6" spans="2:15" ht="15" customHeight="1">
      <c r="B6" s="33" t="s">
        <v>2</v>
      </c>
      <c r="C6" s="3">
        <f>VLOOKUP(B6,'School Data'!$B$2:$AA$18,4,FALSE)</f>
        <v>6339.3333333333321</v>
      </c>
      <c r="D6" s="1"/>
      <c r="E6" s="4">
        <f t="shared" ref="E6:E19" si="1">G31</f>
        <v>160407846.55589181</v>
      </c>
      <c r="F6" s="69"/>
      <c r="G6" s="4">
        <f t="shared" ref="G6:G19" si="2">I51</f>
        <v>97935521.174721569</v>
      </c>
      <c r="H6" s="70"/>
      <c r="I6" s="4">
        <f t="shared" si="0"/>
        <v>62472325.381170243</v>
      </c>
      <c r="K6" s="67">
        <f t="shared" ref="K6:K19" si="3">1-I6/E6</f>
        <v>0.6105407140454151</v>
      </c>
      <c r="L6" s="4"/>
      <c r="M6" s="68">
        <f t="shared" ref="M6:M19" si="4">I6/$I$20</f>
        <v>4.4367725750334541E-2</v>
      </c>
      <c r="O6" s="61"/>
    </row>
    <row r="7" spans="2:15" ht="15" customHeight="1">
      <c r="B7" s="33" t="s">
        <v>3</v>
      </c>
      <c r="C7" s="3">
        <f>VLOOKUP(B7,'School Data'!$B$2:$AA$18,4,FALSE)</f>
        <v>4411.6666666666661</v>
      </c>
      <c r="D7" s="1"/>
      <c r="E7" s="4">
        <f t="shared" si="1"/>
        <v>111172531.59533292</v>
      </c>
      <c r="F7" s="69"/>
      <c r="G7" s="4">
        <f t="shared" si="2"/>
        <v>49525881.75735192</v>
      </c>
      <c r="H7" s="70"/>
      <c r="I7" s="4">
        <f t="shared" si="0"/>
        <v>61646649.837981001</v>
      </c>
      <c r="K7" s="67">
        <f t="shared" si="3"/>
        <v>0.44548667774901185</v>
      </c>
      <c r="L7" s="4"/>
      <c r="M7" s="68">
        <f t="shared" si="4"/>
        <v>4.3781332562063367E-2</v>
      </c>
      <c r="O7" s="61"/>
    </row>
    <row r="8" spans="2:15" ht="15" customHeight="1">
      <c r="B8" s="33" t="s">
        <v>4</v>
      </c>
      <c r="C8" s="3">
        <f>VLOOKUP(B8,'School Data'!$B$2:$AA$18,4,FALSE)</f>
        <v>20425.333333333332</v>
      </c>
      <c r="D8" s="1"/>
      <c r="E8" s="4">
        <f t="shared" si="1"/>
        <v>453992210.94058752</v>
      </c>
      <c r="F8" s="69"/>
      <c r="G8" s="4">
        <f t="shared" si="2"/>
        <v>254010543.47338861</v>
      </c>
      <c r="H8" s="70"/>
      <c r="I8" s="4">
        <f t="shared" si="0"/>
        <v>199981667.46719891</v>
      </c>
      <c r="K8" s="67">
        <f>1-I8/E8</f>
        <v>0.559504188292407</v>
      </c>
      <c r="L8" s="4"/>
      <c r="M8" s="68">
        <f t="shared" si="4"/>
        <v>0.14202659694741579</v>
      </c>
      <c r="O8" s="61"/>
    </row>
    <row r="9" spans="2:15" ht="15" customHeight="1">
      <c r="B9" s="33" t="s">
        <v>5</v>
      </c>
      <c r="C9" s="3">
        <f>VLOOKUP(B9,'School Data'!$B$2:$AA$18,4,FALSE)</f>
        <v>5942.6666666666661</v>
      </c>
      <c r="D9" s="1"/>
      <c r="E9" s="4">
        <f t="shared" si="1"/>
        <v>163265538.09529084</v>
      </c>
      <c r="F9" s="69"/>
      <c r="G9" s="4">
        <f t="shared" si="2"/>
        <v>64126328.737957798</v>
      </c>
      <c r="H9" s="70"/>
      <c r="I9" s="4">
        <f t="shared" si="0"/>
        <v>99139209.357333034</v>
      </c>
      <c r="K9" s="67">
        <f t="shared" si="3"/>
        <v>0.39277320545460193</v>
      </c>
      <c r="L9" s="4"/>
      <c r="M9" s="68">
        <f t="shared" si="4"/>
        <v>7.0408476473919221E-2</v>
      </c>
      <c r="O9" s="61"/>
    </row>
    <row r="10" spans="2:15" ht="15" customHeight="1">
      <c r="B10" s="33" t="s">
        <v>6</v>
      </c>
      <c r="C10" s="3">
        <f>VLOOKUP(B10,'School Data'!$B$2:$AA$18,4,FALSE)</f>
        <v>15855.666666666666</v>
      </c>
      <c r="D10" s="1"/>
      <c r="E10" s="4">
        <f t="shared" si="1"/>
        <v>388784729.0704028</v>
      </c>
      <c r="F10" s="69"/>
      <c r="G10" s="4">
        <f t="shared" si="2"/>
        <v>215983232.10400447</v>
      </c>
      <c r="H10" s="70"/>
      <c r="I10" s="4">
        <f t="shared" si="0"/>
        <v>172801496.96639833</v>
      </c>
      <c r="K10" s="67">
        <f t="shared" si="3"/>
        <v>0.55553424801541862</v>
      </c>
      <c r="L10" s="4"/>
      <c r="M10" s="68">
        <f t="shared" si="4"/>
        <v>0.12272329195165955</v>
      </c>
      <c r="O10" s="61"/>
    </row>
    <row r="11" spans="2:15" ht="15" customHeight="1">
      <c r="B11" s="33" t="s">
        <v>7</v>
      </c>
      <c r="C11" s="3">
        <f>VLOOKUP(B11,'School Data'!$B$2:$AA$18,4,FALSE)</f>
        <v>10656.666666666666</v>
      </c>
      <c r="D11" s="1"/>
      <c r="E11" s="4">
        <f t="shared" si="1"/>
        <v>266135262.09043401</v>
      </c>
      <c r="F11" s="69"/>
      <c r="G11" s="4">
        <f t="shared" si="2"/>
        <v>217501218.07891968</v>
      </c>
      <c r="H11" s="70"/>
      <c r="I11" s="4">
        <f t="shared" si="0"/>
        <v>48634044.011514336</v>
      </c>
      <c r="K11" s="67">
        <f t="shared" si="3"/>
        <v>0.81725817304514781</v>
      </c>
      <c r="L11" s="4"/>
      <c r="M11" s="68">
        <f t="shared" si="4"/>
        <v>3.4539804844257394E-2</v>
      </c>
      <c r="O11" s="61"/>
    </row>
    <row r="12" spans="2:15" ht="15" customHeight="1">
      <c r="B12" s="166" t="s">
        <v>121</v>
      </c>
      <c r="C12" s="167">
        <f>VLOOKUP(B12,'School Data'!$B$2:$AA$18,4,FALSE)</f>
        <v>405.66666666666663</v>
      </c>
      <c r="D12" s="168"/>
      <c r="E12" s="192" t="s">
        <v>175</v>
      </c>
      <c r="F12" s="193"/>
      <c r="G12" s="192" t="s">
        <v>175</v>
      </c>
      <c r="H12" s="194"/>
      <c r="I12" s="192" t="s">
        <v>175</v>
      </c>
      <c r="J12" s="195"/>
      <c r="K12" s="196" t="s">
        <v>175</v>
      </c>
      <c r="L12" s="192"/>
      <c r="M12" s="197" t="s">
        <v>175</v>
      </c>
      <c r="O12" s="61"/>
    </row>
    <row r="13" spans="2:15" ht="15" customHeight="1">
      <c r="B13" s="33" t="s">
        <v>8</v>
      </c>
      <c r="C13" s="3">
        <f>VLOOKUP(B13,'School Data'!$B$2:$AA$18,4,FALSE)</f>
        <v>12660</v>
      </c>
      <c r="D13" s="1"/>
      <c r="E13" s="4">
        <f t="shared" si="1"/>
        <v>314140273.54889917</v>
      </c>
      <c r="F13" s="69"/>
      <c r="G13" s="4">
        <f t="shared" si="2"/>
        <v>195929158.33021766</v>
      </c>
      <c r="H13" s="70"/>
      <c r="I13" s="4">
        <f t="shared" si="0"/>
        <v>118211115.21868151</v>
      </c>
      <c r="K13" s="67">
        <f t="shared" si="3"/>
        <v>0.62369958527370817</v>
      </c>
      <c r="L13" s="4"/>
      <c r="M13" s="68">
        <f t="shared" si="4"/>
        <v>8.3953307463155186E-2</v>
      </c>
      <c r="O13" s="61"/>
    </row>
    <row r="14" spans="2:15" ht="15" customHeight="1">
      <c r="B14" s="33" t="s">
        <v>9</v>
      </c>
      <c r="C14" s="3">
        <f>VLOOKUP(B14,'School Data'!$B$2:$AA$18,4,FALSE)</f>
        <v>31498</v>
      </c>
      <c r="D14" s="1"/>
      <c r="E14" s="4">
        <f t="shared" si="1"/>
        <v>823257773.82565618</v>
      </c>
      <c r="F14" s="69"/>
      <c r="G14" s="4">
        <f t="shared" si="2"/>
        <v>507297055.87829024</v>
      </c>
      <c r="H14" s="70"/>
      <c r="I14" s="4">
        <f t="shared" si="0"/>
        <v>315960717.94736594</v>
      </c>
      <c r="K14" s="67">
        <f t="shared" si="3"/>
        <v>0.61620682124979498</v>
      </c>
      <c r="L14" s="4"/>
      <c r="M14" s="68">
        <f t="shared" si="4"/>
        <v>0.22439469631128595</v>
      </c>
      <c r="O14" s="61"/>
    </row>
    <row r="15" spans="2:15" ht="15" customHeight="1">
      <c r="B15" s="166" t="s">
        <v>126</v>
      </c>
      <c r="C15" s="167">
        <f>VLOOKUP(B15,'School Data'!$B$2:$AA$18,4,FALSE)</f>
        <v>1528</v>
      </c>
      <c r="D15" s="168"/>
      <c r="E15" s="192" t="s">
        <v>175</v>
      </c>
      <c r="F15" s="193"/>
      <c r="G15" s="192" t="s">
        <v>175</v>
      </c>
      <c r="H15" s="194"/>
      <c r="I15" s="192" t="s">
        <v>175</v>
      </c>
      <c r="J15" s="195"/>
      <c r="K15" s="196" t="s">
        <v>175</v>
      </c>
      <c r="L15" s="192"/>
      <c r="M15" s="197" t="s">
        <v>175</v>
      </c>
      <c r="O15" s="61"/>
    </row>
    <row r="16" spans="2:15" ht="15" customHeight="1">
      <c r="B16" s="33" t="s">
        <v>10</v>
      </c>
      <c r="C16" s="3">
        <f>VLOOKUP(B16,'School Data'!$B$2:$AA$18,4,FALSE)</f>
        <v>3936.6666666666661</v>
      </c>
      <c r="D16" s="1"/>
      <c r="E16" s="4">
        <f t="shared" si="1"/>
        <v>88395274.822016209</v>
      </c>
      <c r="F16" s="69"/>
      <c r="G16" s="4">
        <f t="shared" si="2"/>
        <v>63419909.435505688</v>
      </c>
      <c r="H16" s="70"/>
      <c r="I16" s="4">
        <f t="shared" si="0"/>
        <v>24975365.386510521</v>
      </c>
      <c r="K16" s="67">
        <f t="shared" si="3"/>
        <v>0.71745813973882211</v>
      </c>
      <c r="L16" s="4"/>
      <c r="M16" s="68">
        <f t="shared" si="4"/>
        <v>1.7737456629349176E-2</v>
      </c>
      <c r="O16" s="61"/>
    </row>
    <row r="17" spans="2:17" ht="15" customHeight="1">
      <c r="B17" s="33" t="s">
        <v>11</v>
      </c>
      <c r="C17" s="3">
        <f>VLOOKUP(B17,'School Data'!$B$2:$AA$18,4,FALSE)</f>
        <v>53490.999999999993</v>
      </c>
      <c r="D17" s="1"/>
      <c r="E17" s="4">
        <f t="shared" si="1"/>
        <v>1178179841.1345189</v>
      </c>
      <c r="F17" s="69"/>
      <c r="G17" s="4">
        <f t="shared" si="2"/>
        <v>1081201494.4715393</v>
      </c>
      <c r="H17" s="70"/>
      <c r="I17" s="4">
        <f t="shared" si="0"/>
        <v>96978346.662979603</v>
      </c>
      <c r="K17" s="67">
        <f t="shared" si="3"/>
        <v>0.91768799356675879</v>
      </c>
      <c r="L17" s="4"/>
      <c r="M17" s="68">
        <f t="shared" si="4"/>
        <v>6.887383592993046E-2</v>
      </c>
      <c r="O17" s="61"/>
    </row>
    <row r="18" spans="2:17" ht="15" customHeight="1">
      <c r="B18" s="166" t="s">
        <v>127</v>
      </c>
      <c r="C18" s="167">
        <f>VLOOKUP(B18,'School Data'!$B$2:$AA$18,4,FALSE)</f>
        <v>148.66666666666666</v>
      </c>
      <c r="D18" s="168"/>
      <c r="E18" s="192" t="s">
        <v>175</v>
      </c>
      <c r="F18" s="193"/>
      <c r="G18" s="192" t="s">
        <v>175</v>
      </c>
      <c r="H18" s="194"/>
      <c r="I18" s="192" t="s">
        <v>175</v>
      </c>
      <c r="J18" s="195"/>
      <c r="K18" s="196" t="s">
        <v>175</v>
      </c>
      <c r="L18" s="192"/>
      <c r="M18" s="197" t="s">
        <v>175</v>
      </c>
      <c r="O18" s="61"/>
    </row>
    <row r="19" spans="2:17" ht="15" customHeight="1">
      <c r="B19" s="33" t="s">
        <v>12</v>
      </c>
      <c r="C19" s="3">
        <f>VLOOKUP(B19,'School Data'!$B$2:$AA$18,4,FALSE)</f>
        <v>7369.6666666666661</v>
      </c>
      <c r="D19" s="1"/>
      <c r="E19" s="4">
        <f t="shared" si="1"/>
        <v>189057836.71283156</v>
      </c>
      <c r="F19" s="69"/>
      <c r="G19" s="4">
        <f t="shared" si="2"/>
        <v>118547564.32227142</v>
      </c>
      <c r="H19" s="70"/>
      <c r="I19" s="4">
        <f t="shared" si="0"/>
        <v>70510272.390560135</v>
      </c>
      <c r="K19" s="67">
        <f t="shared" si="3"/>
        <v>0.62704390562946433</v>
      </c>
      <c r="L19" s="4"/>
      <c r="M19" s="68">
        <f t="shared" si="4"/>
        <v>5.0076260310756439E-2</v>
      </c>
      <c r="O19" s="61"/>
    </row>
    <row r="20" spans="2:17" ht="15" customHeight="1">
      <c r="B20" s="34" t="s">
        <v>23</v>
      </c>
      <c r="C20" s="62">
        <v>176990.66666666666</v>
      </c>
      <c r="D20" s="82"/>
      <c r="E20" s="31">
        <v>4465740432.1305647</v>
      </c>
      <c r="F20" s="90"/>
      <c r="G20" s="31">
        <v>3057682562.9327235</v>
      </c>
      <c r="H20" s="89"/>
      <c r="I20" s="31">
        <v>1408057869.1978412</v>
      </c>
      <c r="J20" s="17"/>
      <c r="K20" s="83">
        <v>0.68469778067103881</v>
      </c>
      <c r="L20" s="31"/>
      <c r="M20" s="198">
        <v>1</v>
      </c>
    </row>
    <row r="21" spans="2:17" ht="15" customHeight="1">
      <c r="B21" s="215" t="s">
        <v>163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</row>
    <row r="22" spans="2:17" ht="15" customHeight="1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</row>
    <row r="23" spans="2:17" ht="15" customHeight="1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</row>
    <row r="24" spans="2:17" ht="15" customHeight="1">
      <c r="B24" s="214" t="s">
        <v>162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</row>
    <row r="25" spans="2:17" ht="15" customHeight="1"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</row>
    <row r="26" spans="2:17" ht="15" customHeight="1">
      <c r="E26" s="16"/>
      <c r="I26" s="4"/>
    </row>
    <row r="27" spans="2:17" ht="18.5">
      <c r="B27" s="213" t="s">
        <v>31</v>
      </c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O27" s="77"/>
      <c r="P27" s="77"/>
      <c r="Q27" s="77"/>
    </row>
    <row r="28" spans="2:17" ht="14" customHeight="1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O28" s="77"/>
      <c r="P28" s="77"/>
      <c r="Q28" s="77"/>
    </row>
    <row r="29" spans="2:17" ht="49" customHeight="1">
      <c r="B29" s="74" t="s">
        <v>13</v>
      </c>
      <c r="C29" s="29" t="s">
        <v>41</v>
      </c>
      <c r="D29" s="32"/>
      <c r="E29" s="29" t="s">
        <v>29</v>
      </c>
      <c r="F29" s="32"/>
      <c r="G29" s="64" t="s">
        <v>30</v>
      </c>
      <c r="H29" s="32"/>
      <c r="I29" s="29" t="s">
        <v>54</v>
      </c>
      <c r="J29" s="32"/>
      <c r="K29" s="29" t="s">
        <v>71</v>
      </c>
      <c r="L29" s="49"/>
      <c r="M29" s="75" t="s">
        <v>70</v>
      </c>
      <c r="N29" s="77"/>
      <c r="O29" s="77"/>
    </row>
    <row r="30" spans="2:17" ht="15" customHeight="1">
      <c r="B30" s="122" t="s">
        <v>1</v>
      </c>
      <c r="C30" s="4">
        <f>'Institutional Base Calc'!AA4</f>
        <v>50421115.435911335</v>
      </c>
      <c r="D30" s="70" t="s">
        <v>27</v>
      </c>
      <c r="E30" s="4">
        <f>'Instituional Equity Calc'!T4</f>
        <v>23525533.205785684</v>
      </c>
      <c r="F30" s="70" t="s">
        <v>28</v>
      </c>
      <c r="G30" s="12">
        <f>E30+C30</f>
        <v>73946648.641697019</v>
      </c>
      <c r="I30" s="4">
        <f t="shared" ref="I30:I44" si="5">G30/C5</f>
        <v>31850.674217529227</v>
      </c>
      <c r="K30" s="4">
        <f t="shared" ref="K30:K44" si="6">C30/C5</f>
        <v>21717.637660837619</v>
      </c>
      <c r="L30" s="67"/>
      <c r="M30" s="30">
        <f t="shared" ref="M30:M44" si="7">E30/C5</f>
        <v>10133.03655669161</v>
      </c>
      <c r="N30" s="77"/>
      <c r="O30" s="91"/>
    </row>
    <row r="31" spans="2:17" ht="15" customHeight="1">
      <c r="B31" s="33" t="s">
        <v>2</v>
      </c>
      <c r="C31" s="4">
        <f>'Institutional Base Calc'!AA5</f>
        <v>119910142.21412911</v>
      </c>
      <c r="D31" s="70"/>
      <c r="E31" s="4">
        <f>'Instituional Equity Calc'!T5</f>
        <v>40497704.341762722</v>
      </c>
      <c r="F31" s="70"/>
      <c r="G31" s="12">
        <f t="shared" ref="G31:G44" si="8">E31+C31</f>
        <v>160407846.55589181</v>
      </c>
      <c r="I31" s="4">
        <f t="shared" si="5"/>
        <v>25303.582903968636</v>
      </c>
      <c r="K31" s="4">
        <f t="shared" si="6"/>
        <v>18915.260629003438</v>
      </c>
      <c r="L31" s="67"/>
      <c r="M31" s="30">
        <f t="shared" si="7"/>
        <v>6388.3222749652004</v>
      </c>
      <c r="N31" s="77"/>
      <c r="O31" s="91"/>
    </row>
    <row r="32" spans="2:17" ht="15" customHeight="1">
      <c r="B32" s="33" t="s">
        <v>3</v>
      </c>
      <c r="C32" s="4">
        <f>'Institutional Base Calc'!AA6</f>
        <v>80697118.443290442</v>
      </c>
      <c r="D32" s="70"/>
      <c r="E32" s="4">
        <f>'Instituional Equity Calc'!T6</f>
        <v>30475413.152042482</v>
      </c>
      <c r="F32" s="70"/>
      <c r="G32" s="12">
        <f t="shared" si="8"/>
        <v>111172531.59533292</v>
      </c>
      <c r="I32" s="4">
        <f t="shared" si="5"/>
        <v>25199.667154212224</v>
      </c>
      <c r="K32" s="4">
        <f t="shared" si="6"/>
        <v>18291.753330553183</v>
      </c>
      <c r="L32" s="67"/>
      <c r="M32" s="30">
        <f t="shared" si="7"/>
        <v>6907.9138236590452</v>
      </c>
      <c r="N32" s="77"/>
      <c r="O32" s="91"/>
    </row>
    <row r="33" spans="2:18" ht="15" customHeight="1">
      <c r="B33" s="33" t="s">
        <v>4</v>
      </c>
      <c r="C33" s="4">
        <f>'Institutional Base Calc'!AA7</f>
        <v>375207626.98001176</v>
      </c>
      <c r="D33" s="70"/>
      <c r="E33" s="4">
        <f>'Instituional Equity Calc'!T7</f>
        <v>78784583.960575745</v>
      </c>
      <c r="F33" s="70"/>
      <c r="G33" s="12">
        <f t="shared" si="8"/>
        <v>453992210.94058752</v>
      </c>
      <c r="I33" s="4">
        <f t="shared" si="5"/>
        <v>22226.91808900324</v>
      </c>
      <c r="K33" s="4">
        <f t="shared" si="6"/>
        <v>18369.718665383436</v>
      </c>
      <c r="L33" s="67"/>
      <c r="M33" s="30">
        <f t="shared" si="7"/>
        <v>3857.1994236198061</v>
      </c>
      <c r="N33" s="77"/>
      <c r="O33" s="91"/>
    </row>
    <row r="34" spans="2:18" ht="15" customHeight="1">
      <c r="B34" s="33" t="s">
        <v>5</v>
      </c>
      <c r="C34" s="4">
        <f>'Institutional Base Calc'!AA8</f>
        <v>110499853.82188675</v>
      </c>
      <c r="D34" s="70"/>
      <c r="E34" s="4">
        <f>'Instituional Equity Calc'!T8</f>
        <v>52765684.273404084</v>
      </c>
      <c r="F34" s="70"/>
      <c r="G34" s="12">
        <f t="shared" si="8"/>
        <v>163265538.09529084</v>
      </c>
      <c r="I34" s="4">
        <f t="shared" si="5"/>
        <v>27473.447065619956</v>
      </c>
      <c r="K34" s="4">
        <f t="shared" si="6"/>
        <v>18594.321374560259</v>
      </c>
      <c r="L34" s="67"/>
      <c r="M34" s="30">
        <f t="shared" si="7"/>
        <v>8879.1256910596967</v>
      </c>
      <c r="O34" s="91"/>
    </row>
    <row r="35" spans="2:18" ht="15" customHeight="1">
      <c r="B35" s="33" t="s">
        <v>6</v>
      </c>
      <c r="C35" s="4">
        <f>'Institutional Base Calc'!AA9</f>
        <v>308989691.19339538</v>
      </c>
      <c r="D35" s="70"/>
      <c r="E35" s="4">
        <f>'Instituional Equity Calc'!T9</f>
        <v>79795037.877007425</v>
      </c>
      <c r="F35" s="70"/>
      <c r="G35" s="12">
        <f t="shared" si="8"/>
        <v>388784729.0704028</v>
      </c>
      <c r="I35" s="4">
        <f t="shared" si="5"/>
        <v>24520.238552172901</v>
      </c>
      <c r="K35" s="4">
        <f t="shared" si="6"/>
        <v>19487.650547232035</v>
      </c>
      <c r="L35" s="67"/>
      <c r="M35" s="30">
        <f t="shared" si="7"/>
        <v>5032.5880049408679</v>
      </c>
      <c r="O35" s="91"/>
    </row>
    <row r="36" spans="2:18" ht="15" customHeight="1">
      <c r="B36" s="33" t="s">
        <v>7</v>
      </c>
      <c r="C36" s="4">
        <f>'Institutional Base Calc'!AA10</f>
        <v>221177514.68570578</v>
      </c>
      <c r="D36" s="70"/>
      <c r="E36" s="4">
        <f>'Instituional Equity Calc'!T10</f>
        <v>44957747.404728241</v>
      </c>
      <c r="F36" s="70"/>
      <c r="G36" s="12">
        <f t="shared" si="8"/>
        <v>266135262.09043401</v>
      </c>
      <c r="I36" s="4">
        <f t="shared" si="5"/>
        <v>24973.593564945328</v>
      </c>
      <c r="K36" s="4">
        <f t="shared" si="6"/>
        <v>20754.849673353689</v>
      </c>
      <c r="L36" s="67"/>
      <c r="M36" s="30">
        <f t="shared" si="7"/>
        <v>4218.74389159164</v>
      </c>
      <c r="O36" s="91"/>
    </row>
    <row r="37" spans="2:18" ht="15" customHeight="1">
      <c r="B37" s="166" t="s">
        <v>121</v>
      </c>
      <c r="C37" s="192" t="s">
        <v>175</v>
      </c>
      <c r="D37" s="199"/>
      <c r="E37" s="192" t="s">
        <v>175</v>
      </c>
      <c r="F37" s="199"/>
      <c r="G37" s="192" t="s">
        <v>175</v>
      </c>
      <c r="H37" s="170"/>
      <c r="I37" s="192" t="s">
        <v>175</v>
      </c>
      <c r="J37" s="170"/>
      <c r="K37" s="192" t="s">
        <v>175</v>
      </c>
      <c r="L37" s="174"/>
      <c r="M37" s="200" t="s">
        <v>175</v>
      </c>
      <c r="O37" s="91"/>
    </row>
    <row r="38" spans="2:18" ht="15" customHeight="1">
      <c r="B38" s="33" t="s">
        <v>8</v>
      </c>
      <c r="C38" s="4">
        <f>'Institutional Base Calc'!AA12</f>
        <v>251815634.42519554</v>
      </c>
      <c r="D38" s="70"/>
      <c r="E38" s="4">
        <f>'Instituional Equity Calc'!T12</f>
        <v>62324639.123703599</v>
      </c>
      <c r="F38" s="70"/>
      <c r="G38" s="12">
        <f t="shared" si="8"/>
        <v>314140273.54889917</v>
      </c>
      <c r="I38" s="4">
        <f t="shared" si="5"/>
        <v>24813.607705284296</v>
      </c>
      <c r="K38" s="4">
        <f t="shared" si="6"/>
        <v>19890.650428530455</v>
      </c>
      <c r="L38" s="67"/>
      <c r="M38" s="30">
        <f t="shared" si="7"/>
        <v>4922.9572767538384</v>
      </c>
      <c r="O38" s="91"/>
    </row>
    <row r="39" spans="2:18" ht="15" customHeight="1">
      <c r="B39" s="33" t="s">
        <v>9</v>
      </c>
      <c r="C39" s="4">
        <f>'Institutional Base Calc'!AA13</f>
        <v>631938744.44612586</v>
      </c>
      <c r="D39" s="70"/>
      <c r="E39" s="4">
        <f>'Instituional Equity Calc'!T13</f>
        <v>191319029.37953025</v>
      </c>
      <c r="F39" s="70"/>
      <c r="G39" s="12">
        <f t="shared" si="8"/>
        <v>823257773.82565618</v>
      </c>
      <c r="I39" s="4">
        <f t="shared" si="5"/>
        <v>26136.826904109981</v>
      </c>
      <c r="K39" s="4">
        <f t="shared" si="6"/>
        <v>20062.821272656227</v>
      </c>
      <c r="L39" s="67"/>
      <c r="M39" s="30">
        <f t="shared" si="7"/>
        <v>6074.0056314537514</v>
      </c>
      <c r="O39" s="91"/>
    </row>
    <row r="40" spans="2:18" ht="15" customHeight="1">
      <c r="B40" s="166" t="s">
        <v>126</v>
      </c>
      <c r="C40" s="192" t="s">
        <v>175</v>
      </c>
      <c r="D40" s="199"/>
      <c r="E40" s="192" t="s">
        <v>175</v>
      </c>
      <c r="F40" s="199"/>
      <c r="G40" s="192" t="s">
        <v>175</v>
      </c>
      <c r="H40" s="170"/>
      <c r="I40" s="192" t="s">
        <v>175</v>
      </c>
      <c r="J40" s="170"/>
      <c r="K40" s="192" t="s">
        <v>175</v>
      </c>
      <c r="L40" s="174"/>
      <c r="M40" s="200" t="s">
        <v>175</v>
      </c>
      <c r="O40" s="91"/>
    </row>
    <row r="41" spans="2:18" ht="15" customHeight="1">
      <c r="B41" s="33" t="s">
        <v>10</v>
      </c>
      <c r="C41" s="4">
        <f>'Institutional Base Calc'!AA15</f>
        <v>73461002.145379215</v>
      </c>
      <c r="D41" s="70"/>
      <c r="E41" s="4">
        <f>'Instituional Equity Calc'!T15</f>
        <v>14934272.676636999</v>
      </c>
      <c r="F41" s="70"/>
      <c r="G41" s="12">
        <f t="shared" si="8"/>
        <v>88395274.822016209</v>
      </c>
      <c r="I41" s="4">
        <f t="shared" si="5"/>
        <v>22454.345848098958</v>
      </c>
      <c r="K41" s="4">
        <f t="shared" si="6"/>
        <v>18660.711806616229</v>
      </c>
      <c r="L41" s="67"/>
      <c r="M41" s="30">
        <f t="shared" si="7"/>
        <v>3793.6340414827268</v>
      </c>
      <c r="O41" s="91"/>
    </row>
    <row r="42" spans="2:18" ht="15" customHeight="1">
      <c r="B42" s="33" t="s">
        <v>11</v>
      </c>
      <c r="C42" s="4">
        <f>'Institutional Base Calc'!AA16</f>
        <v>1068300917.635578</v>
      </c>
      <c r="D42" s="70"/>
      <c r="E42" s="4">
        <f>'Instituional Equity Calc'!T16</f>
        <v>109878923.4989408</v>
      </c>
      <c r="F42" s="70"/>
      <c r="G42" s="12">
        <f t="shared" si="8"/>
        <v>1178179841.1345189</v>
      </c>
      <c r="I42" s="4">
        <f t="shared" si="5"/>
        <v>22025.758373081808</v>
      </c>
      <c r="K42" s="4">
        <f t="shared" si="6"/>
        <v>19971.601159738613</v>
      </c>
      <c r="L42" s="67"/>
      <c r="M42" s="30">
        <f t="shared" si="7"/>
        <v>2054.1572133431946</v>
      </c>
      <c r="O42" s="91"/>
    </row>
    <row r="43" spans="2:18" ht="15" customHeight="1">
      <c r="B43" s="166" t="s">
        <v>127</v>
      </c>
      <c r="C43" s="192" t="s">
        <v>175</v>
      </c>
      <c r="D43" s="199"/>
      <c r="E43" s="192" t="s">
        <v>175</v>
      </c>
      <c r="F43" s="199"/>
      <c r="G43" s="192" t="s">
        <v>175</v>
      </c>
      <c r="H43" s="170"/>
      <c r="I43" s="192" t="s">
        <v>175</v>
      </c>
      <c r="J43" s="170"/>
      <c r="K43" s="192" t="s">
        <v>175</v>
      </c>
      <c r="L43" s="174"/>
      <c r="M43" s="200" t="s">
        <v>175</v>
      </c>
      <c r="O43" s="91"/>
    </row>
    <row r="44" spans="2:18" ht="15" customHeight="1">
      <c r="B44" s="33" t="s">
        <v>12</v>
      </c>
      <c r="C44" s="4">
        <f>'Institutional Base Calc'!AA18</f>
        <v>142667787.2392655</v>
      </c>
      <c r="D44" s="70"/>
      <c r="E44" s="4">
        <f>'Instituional Equity Calc'!T18</f>
        <v>46390049.473566063</v>
      </c>
      <c r="F44" s="70"/>
      <c r="G44" s="12">
        <f t="shared" si="8"/>
        <v>189057836.71283156</v>
      </c>
      <c r="I44" s="4">
        <f t="shared" si="5"/>
        <v>25653.512602944262</v>
      </c>
      <c r="K44" s="4">
        <f t="shared" si="6"/>
        <v>19358.784283223871</v>
      </c>
      <c r="L44" s="67"/>
      <c r="M44" s="30">
        <f t="shared" si="7"/>
        <v>6294.7283197203942</v>
      </c>
      <c r="O44" s="91"/>
    </row>
    <row r="45" spans="2:18" ht="15" customHeight="1">
      <c r="B45" s="34" t="s">
        <v>23</v>
      </c>
      <c r="C45" s="31">
        <v>3678738776.3634772</v>
      </c>
      <c r="D45" s="89"/>
      <c r="E45" s="31">
        <v>787001655.76708651</v>
      </c>
      <c r="F45" s="89"/>
      <c r="G45" s="63">
        <v>4465740432.1305637</v>
      </c>
      <c r="H45" s="17"/>
      <c r="I45" s="31">
        <v>25231.502407644268</v>
      </c>
      <c r="J45" s="8"/>
      <c r="K45" s="31">
        <v>20784.930898598104</v>
      </c>
      <c r="L45" s="83"/>
      <c r="M45" s="35">
        <v>4446.5715090461636</v>
      </c>
      <c r="O45" s="6"/>
      <c r="R45" s="6"/>
    </row>
    <row r="46" spans="2:18" ht="15" customHeight="1">
      <c r="C46" s="2"/>
      <c r="D46" s="2"/>
      <c r="E46" s="72"/>
      <c r="F46" s="76"/>
      <c r="G46" s="50"/>
      <c r="I46" s="4"/>
    </row>
    <row r="47" spans="2:18" ht="18.5">
      <c r="B47" s="213" t="s">
        <v>51</v>
      </c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2:18" ht="15" customHeight="1"/>
    <row r="49" spans="2:19" ht="43.5">
      <c r="B49" s="74" t="s">
        <v>13</v>
      </c>
      <c r="C49" s="29" t="s">
        <v>105</v>
      </c>
      <c r="D49" s="49"/>
      <c r="E49" s="29" t="s">
        <v>73</v>
      </c>
      <c r="F49" s="49"/>
      <c r="G49" s="29" t="s">
        <v>49</v>
      </c>
      <c r="H49" s="32"/>
      <c r="I49" s="64" t="s">
        <v>50</v>
      </c>
      <c r="J49" s="32"/>
      <c r="K49" s="29" t="s">
        <v>55</v>
      </c>
      <c r="L49" s="32"/>
      <c r="M49" s="29" t="s">
        <v>72</v>
      </c>
      <c r="N49" s="32"/>
      <c r="O49" s="29" t="s">
        <v>67</v>
      </c>
      <c r="P49" s="32"/>
      <c r="Q49" s="75" t="s">
        <v>69</v>
      </c>
    </row>
    <row r="50" spans="2:19" ht="15" customHeight="1">
      <c r="B50" s="122" t="s">
        <v>1</v>
      </c>
      <c r="C50" s="4">
        <f>'School Data'!AA3</f>
        <v>39493233.333333336</v>
      </c>
      <c r="D50" s="70" t="s">
        <v>27</v>
      </c>
      <c r="E50" s="4">
        <f>'ESS Calculation'!K3</f>
        <v>11696033.76224409</v>
      </c>
      <c r="F50" s="70" t="s">
        <v>27</v>
      </c>
      <c r="G50" s="4">
        <f>VLOOKUP($B50,'School Data'!$B$2:$AB$18,27,FALSE)*'Model Costs and Assumptions'!$D$34</f>
        <v>249301.50000000003</v>
      </c>
      <c r="H50" s="70" t="s">
        <v>28</v>
      </c>
      <c r="I50" s="12">
        <f>E50+C50+G50</f>
        <v>51438568.595577426</v>
      </c>
      <c r="K50" s="4">
        <f t="shared" ref="K50:K64" si="9">I50/C5</f>
        <v>22155.880227815116</v>
      </c>
      <c r="M50" s="4">
        <f t="shared" ref="M50:M64" si="10">C50/C5</f>
        <v>17010.725053840633</v>
      </c>
      <c r="O50" s="4">
        <f t="shared" ref="O50:O64" si="11">E50/C5</f>
        <v>5037.7747719644331</v>
      </c>
      <c r="Q50" s="30">
        <f t="shared" ref="Q50:Q64" si="12">G50/C5</f>
        <v>107.38040201005028</v>
      </c>
      <c r="S50" s="4"/>
    </row>
    <row r="51" spans="2:19" ht="15" customHeight="1">
      <c r="B51" s="33" t="s">
        <v>2</v>
      </c>
      <c r="C51" s="4">
        <f>'School Data'!AA4</f>
        <v>42979166.666666664</v>
      </c>
      <c r="D51" s="70"/>
      <c r="E51" s="4">
        <f>'ESS Calculation'!K4</f>
        <v>52527048.258054905</v>
      </c>
      <c r="F51" s="70"/>
      <c r="G51" s="4">
        <f>VLOOKUP($B51,'School Data'!$B$2:$AB$18,27,FALSE)*'Model Costs and Assumptions'!$D$34</f>
        <v>2429306.25</v>
      </c>
      <c r="H51" s="70"/>
      <c r="I51" s="12">
        <f t="shared" ref="I51:I62" si="13">E51+C51+G51</f>
        <v>97935521.174721569</v>
      </c>
      <c r="K51" s="4">
        <f t="shared" si="9"/>
        <v>15448.86757409637</v>
      </c>
      <c r="M51" s="4">
        <f t="shared" si="10"/>
        <v>6779.7612787885173</v>
      </c>
      <c r="O51" s="4">
        <f t="shared" si="11"/>
        <v>8285.8946668506014</v>
      </c>
      <c r="Q51" s="30">
        <f t="shared" si="12"/>
        <v>383.21162845725109</v>
      </c>
      <c r="S51" s="4"/>
    </row>
    <row r="52" spans="2:19" ht="15" customHeight="1">
      <c r="B52" s="33" t="s">
        <v>3</v>
      </c>
      <c r="C52" s="4">
        <f>'School Data'!AA5</f>
        <v>23966733.333333332</v>
      </c>
      <c r="D52" s="70"/>
      <c r="E52" s="4">
        <f>'ESS Calculation'!K5</f>
        <v>25464254.674018584</v>
      </c>
      <c r="F52" s="70"/>
      <c r="G52" s="4">
        <f>VLOOKUP($B52,'School Data'!$B$2:$AB$18,27,FALSE)*'Model Costs and Assumptions'!$D$34</f>
        <v>94893.75</v>
      </c>
      <c r="H52" s="70"/>
      <c r="I52" s="12">
        <f t="shared" si="13"/>
        <v>49525881.75735192</v>
      </c>
      <c r="K52" s="4">
        <f t="shared" si="9"/>
        <v>11226.116000910901</v>
      </c>
      <c r="M52" s="4">
        <f t="shared" si="10"/>
        <v>5432.5802795617683</v>
      </c>
      <c r="O52" s="4">
        <f t="shared" si="11"/>
        <v>5772.025993355177</v>
      </c>
      <c r="Q52" s="30">
        <f t="shared" si="12"/>
        <v>21.509727993955423</v>
      </c>
      <c r="S52" s="4"/>
    </row>
    <row r="53" spans="2:19" ht="15" customHeight="1">
      <c r="B53" s="33" t="s">
        <v>4</v>
      </c>
      <c r="C53" s="4">
        <f>'School Data'!AA6</f>
        <v>71966633.333333328</v>
      </c>
      <c r="D53" s="70"/>
      <c r="E53" s="4">
        <f>'ESS Calculation'!K6</f>
        <v>176399203.59005529</v>
      </c>
      <c r="F53" s="70"/>
      <c r="G53" s="4">
        <f>VLOOKUP($B53,'School Data'!$B$2:$AB$18,27,FALSE)*'Model Costs and Assumptions'!$D$34</f>
        <v>5644706.5500000007</v>
      </c>
      <c r="H53" s="70"/>
      <c r="I53" s="12">
        <f t="shared" si="13"/>
        <v>254010543.47338861</v>
      </c>
      <c r="K53" s="4">
        <f t="shared" si="9"/>
        <v>12436.053763629576</v>
      </c>
      <c r="M53" s="4">
        <f t="shared" si="10"/>
        <v>3523.4006788954894</v>
      </c>
      <c r="O53" s="4">
        <f t="shared" si="11"/>
        <v>8636.2949730753626</v>
      </c>
      <c r="Q53" s="30">
        <f t="shared" si="12"/>
        <v>276.35811165872451</v>
      </c>
      <c r="S53" s="4"/>
    </row>
    <row r="54" spans="2:19" ht="15" customHeight="1">
      <c r="B54" s="33" t="s">
        <v>5</v>
      </c>
      <c r="C54" s="4">
        <f>'School Data'!AA7</f>
        <v>36752500</v>
      </c>
      <c r="D54" s="70"/>
      <c r="E54" s="4">
        <f>'ESS Calculation'!K7</f>
        <v>26892037.287957795</v>
      </c>
      <c r="F54" s="70"/>
      <c r="G54" s="4">
        <f>VLOOKUP($B54,'School Data'!$B$2:$AB$18,27,FALSE)*'Model Costs and Assumptions'!$D$34</f>
        <v>481791.45</v>
      </c>
      <c r="H54" s="70"/>
      <c r="I54" s="12">
        <f t="shared" si="13"/>
        <v>64126328.737957798</v>
      </c>
      <c r="K54" s="4">
        <f t="shared" si="9"/>
        <v>10790.833868850876</v>
      </c>
      <c r="M54" s="4">
        <f t="shared" si="10"/>
        <v>6184.5131254206872</v>
      </c>
      <c r="O54" s="4">
        <f t="shared" si="11"/>
        <v>4525.2474682450857</v>
      </c>
      <c r="Q54" s="30">
        <f t="shared" si="12"/>
        <v>81.073275185102091</v>
      </c>
      <c r="S54" s="4"/>
    </row>
    <row r="55" spans="2:19" ht="15" customHeight="1">
      <c r="B55" s="33" t="s">
        <v>6</v>
      </c>
      <c r="C55" s="4">
        <f>'School Data'!AA8</f>
        <v>90757866.666666672</v>
      </c>
      <c r="D55" s="70"/>
      <c r="E55" s="4">
        <f>'ESS Calculation'!K8</f>
        <v>121844261.48733781</v>
      </c>
      <c r="F55" s="70"/>
      <c r="G55" s="4">
        <f>VLOOKUP($B55,'School Data'!$B$2:$AB$18,27,FALSE)*'Model Costs and Assumptions'!$D$34</f>
        <v>3381103.9499999997</v>
      </c>
      <c r="H55" s="70"/>
      <c r="I55" s="12">
        <f t="shared" si="13"/>
        <v>215983232.10400447</v>
      </c>
      <c r="K55" s="4">
        <f t="shared" si="9"/>
        <v>13621.832285240049</v>
      </c>
      <c r="M55" s="4">
        <f t="shared" si="10"/>
        <v>5724.0019341139869</v>
      </c>
      <c r="O55" s="4">
        <f t="shared" si="11"/>
        <v>7684.5877280890836</v>
      </c>
      <c r="Q55" s="30">
        <f t="shared" si="12"/>
        <v>213.24262303697941</v>
      </c>
      <c r="S55" s="4"/>
    </row>
    <row r="56" spans="2:19" ht="15" customHeight="1">
      <c r="B56" s="33" t="s">
        <v>7</v>
      </c>
      <c r="C56" s="4">
        <f>'School Data'!AA9</f>
        <v>98442481.395978421</v>
      </c>
      <c r="D56" s="70"/>
      <c r="E56" s="4">
        <f>'ESS Calculation'!K9</f>
        <v>112945816.43742342</v>
      </c>
      <c r="F56" s="70"/>
      <c r="G56" s="4">
        <f>VLOOKUP($B56,'School Data'!$B$2:$AB$18,27,FALSE)*'Model Costs and Assumptions'!$D$34</f>
        <v>6112920.2455178238</v>
      </c>
      <c r="H56" s="70"/>
      <c r="I56" s="12">
        <f t="shared" si="13"/>
        <v>217501218.07891968</v>
      </c>
      <c r="K56" s="4">
        <f t="shared" si="9"/>
        <v>20409.873451259278</v>
      </c>
      <c r="M56" s="4">
        <f t="shared" si="10"/>
        <v>9237.6429211115192</v>
      </c>
      <c r="O56" s="4">
        <f t="shared" si="11"/>
        <v>10598.606484587748</v>
      </c>
      <c r="Q56" s="30">
        <f t="shared" si="12"/>
        <v>573.62404556000854</v>
      </c>
      <c r="S56" s="4"/>
    </row>
    <row r="57" spans="2:19" ht="15" customHeight="1">
      <c r="B57" s="166" t="s">
        <v>121</v>
      </c>
      <c r="C57" s="192" t="s">
        <v>175</v>
      </c>
      <c r="D57" s="199"/>
      <c r="E57" s="192" t="s">
        <v>175</v>
      </c>
      <c r="F57" s="199"/>
      <c r="G57" s="192" t="s">
        <v>175</v>
      </c>
      <c r="H57" s="199"/>
      <c r="I57" s="192" t="s">
        <v>175</v>
      </c>
      <c r="J57" s="170"/>
      <c r="K57" s="192" t="s">
        <v>175</v>
      </c>
      <c r="L57" s="170"/>
      <c r="M57" s="192" t="s">
        <v>175</v>
      </c>
      <c r="N57" s="170"/>
      <c r="O57" s="192" t="s">
        <v>175</v>
      </c>
      <c r="P57" s="170"/>
      <c r="Q57" s="200" t="s">
        <v>175</v>
      </c>
      <c r="S57" s="4"/>
    </row>
    <row r="58" spans="2:19" ht="15" customHeight="1">
      <c r="B58" s="33" t="s">
        <v>8</v>
      </c>
      <c r="C58" s="4">
        <f>'School Data'!AA11</f>
        <v>63543851.937354892</v>
      </c>
      <c r="D58" s="70"/>
      <c r="E58" s="4">
        <f>'ESS Calculation'!K11</f>
        <v>131335312.69286279</v>
      </c>
      <c r="F58" s="70"/>
      <c r="G58" s="4">
        <f>VLOOKUP($B58,'School Data'!$B$2:$AB$18,27,FALSE)*'Model Costs and Assumptions'!$D$34</f>
        <v>1049993.7</v>
      </c>
      <c r="H58" s="70"/>
      <c r="I58" s="12">
        <f t="shared" si="13"/>
        <v>195929158.33021766</v>
      </c>
      <c r="K58" s="4">
        <f t="shared" si="9"/>
        <v>15476.236834930305</v>
      </c>
      <c r="M58" s="4">
        <f t="shared" si="10"/>
        <v>5019.2616064261365</v>
      </c>
      <c r="O58" s="4">
        <f t="shared" si="11"/>
        <v>10374.037337508909</v>
      </c>
      <c r="Q58" s="30">
        <f t="shared" si="12"/>
        <v>82.937890995260659</v>
      </c>
      <c r="S58" s="4"/>
    </row>
    <row r="59" spans="2:19" ht="15" customHeight="1">
      <c r="B59" s="33" t="s">
        <v>9</v>
      </c>
      <c r="C59" s="4">
        <f>'School Data'!AA12</f>
        <v>232796971.37517595</v>
      </c>
      <c r="D59" s="70"/>
      <c r="E59" s="4">
        <f>'ESS Calculation'!K12</f>
        <v>258830122.8581835</v>
      </c>
      <c r="F59" s="70"/>
      <c r="G59" s="4">
        <f>VLOOKUP($B59,'School Data'!$B$2:$AB$18,27,FALSE)*'Model Costs and Assumptions'!$D$34</f>
        <v>15669961.644930752</v>
      </c>
      <c r="H59" s="70"/>
      <c r="I59" s="12">
        <f t="shared" si="13"/>
        <v>507297055.87829024</v>
      </c>
      <c r="K59" s="4">
        <f t="shared" si="9"/>
        <v>16105.69102413773</v>
      </c>
      <c r="M59" s="4">
        <f t="shared" si="10"/>
        <v>7390.8493039296445</v>
      </c>
      <c r="O59" s="4">
        <f t="shared" si="11"/>
        <v>8217.3510336587569</v>
      </c>
      <c r="Q59" s="30">
        <f t="shared" si="12"/>
        <v>497.49068654932859</v>
      </c>
      <c r="S59" s="4"/>
    </row>
    <row r="60" spans="2:19" ht="15" customHeight="1">
      <c r="B60" s="166" t="s">
        <v>126</v>
      </c>
      <c r="C60" s="192" t="s">
        <v>175</v>
      </c>
      <c r="D60" s="199"/>
      <c r="E60" s="192" t="s">
        <v>175</v>
      </c>
      <c r="F60" s="199"/>
      <c r="G60" s="192" t="s">
        <v>175</v>
      </c>
      <c r="H60" s="199"/>
      <c r="I60" s="192" t="s">
        <v>175</v>
      </c>
      <c r="J60" s="170"/>
      <c r="K60" s="192" t="s">
        <v>175</v>
      </c>
      <c r="L60" s="170"/>
      <c r="M60" s="192" t="s">
        <v>175</v>
      </c>
      <c r="N60" s="170"/>
      <c r="O60" s="192" t="s">
        <v>175</v>
      </c>
      <c r="P60" s="170"/>
      <c r="Q60" s="200" t="s">
        <v>175</v>
      </c>
      <c r="S60" s="4"/>
    </row>
    <row r="61" spans="2:19" ht="15" customHeight="1">
      <c r="B61" s="33" t="s">
        <v>10</v>
      </c>
      <c r="C61" s="4">
        <f>'School Data'!AA14</f>
        <v>24934641.605156694</v>
      </c>
      <c r="D61" s="70"/>
      <c r="E61" s="4">
        <f>'ESS Calculation'!K14</f>
        <v>37619372.978411429</v>
      </c>
      <c r="F61" s="70"/>
      <c r="G61" s="4">
        <f>VLOOKUP($B61,'School Data'!$B$2:$AB$18,27,FALSE)*'Model Costs and Assumptions'!$D$34</f>
        <v>865894.85193756467</v>
      </c>
      <c r="H61" s="70"/>
      <c r="I61" s="12">
        <f t="shared" si="13"/>
        <v>63419909.435505688</v>
      </c>
      <c r="K61" s="4">
        <f t="shared" si="9"/>
        <v>16110.053201229221</v>
      </c>
      <c r="M61" s="4">
        <f t="shared" si="10"/>
        <v>6333.9479098619895</v>
      </c>
      <c r="O61" s="4">
        <f t="shared" si="11"/>
        <v>9556.1489360909654</v>
      </c>
      <c r="Q61" s="30">
        <f t="shared" si="12"/>
        <v>219.95635527626541</v>
      </c>
      <c r="S61" s="4"/>
    </row>
    <row r="62" spans="2:19" ht="15" customHeight="1">
      <c r="B62" s="33" t="s">
        <v>11</v>
      </c>
      <c r="C62" s="4">
        <f>'School Data'!AA15</f>
        <v>306168341.25615579</v>
      </c>
      <c r="D62" s="70"/>
      <c r="E62" s="4">
        <f>'ESS Calculation'!K15</f>
        <v>695086946.72327197</v>
      </c>
      <c r="F62" s="70"/>
      <c r="G62" s="4">
        <f>VLOOKUP($B62,'School Data'!$B$2:$AB$18,27,FALSE)*'Model Costs and Assumptions'!$D$34</f>
        <v>79946206.492111474</v>
      </c>
      <c r="H62" s="70"/>
      <c r="I62" s="12">
        <f t="shared" si="13"/>
        <v>1081201494.4715393</v>
      </c>
      <c r="K62" s="4">
        <f t="shared" si="9"/>
        <v>20212.774008179684</v>
      </c>
      <c r="M62" s="4">
        <f t="shared" si="10"/>
        <v>5723.7356051701372</v>
      </c>
      <c r="O62" s="4">
        <f t="shared" si="11"/>
        <v>12994.465362832478</v>
      </c>
      <c r="Q62" s="30">
        <f t="shared" si="12"/>
        <v>1494.5730401770668</v>
      </c>
      <c r="S62" s="4"/>
    </row>
    <row r="63" spans="2:19" ht="15" customHeight="1">
      <c r="B63" s="166" t="s">
        <v>127</v>
      </c>
      <c r="C63" s="192" t="s">
        <v>175</v>
      </c>
      <c r="D63" s="199"/>
      <c r="E63" s="192" t="s">
        <v>175</v>
      </c>
      <c r="F63" s="199"/>
      <c r="G63" s="192" t="s">
        <v>175</v>
      </c>
      <c r="H63" s="199"/>
      <c r="I63" s="192" t="s">
        <v>175</v>
      </c>
      <c r="J63" s="170"/>
      <c r="K63" s="192" t="s">
        <v>175</v>
      </c>
      <c r="L63" s="170"/>
      <c r="M63" s="192" t="s">
        <v>175</v>
      </c>
      <c r="N63" s="170"/>
      <c r="O63" s="192" t="s">
        <v>175</v>
      </c>
      <c r="P63" s="170"/>
      <c r="Q63" s="200" t="s">
        <v>175</v>
      </c>
      <c r="S63" s="4"/>
    </row>
    <row r="64" spans="2:19" ht="15" customHeight="1">
      <c r="B64" s="33" t="s">
        <v>12</v>
      </c>
      <c r="C64" s="4">
        <f>'School Data'!AA17</f>
        <v>51250933.333333336</v>
      </c>
      <c r="D64" s="70"/>
      <c r="E64" s="4">
        <f>'ESS Calculation'!K17</f>
        <v>64888709.038938075</v>
      </c>
      <c r="F64" s="70"/>
      <c r="G64" s="4">
        <f>VLOOKUP($B64,'School Data'!$B$2:$AB$18,27,FALSE)*'Model Costs and Assumptions'!$D$34</f>
        <v>2407921.9500000002</v>
      </c>
      <c r="H64" s="70"/>
      <c r="I64" s="12">
        <f>E64+C64+G64</f>
        <v>118547564.32227142</v>
      </c>
      <c r="K64" s="4">
        <f t="shared" si="9"/>
        <v>16085.878735664855</v>
      </c>
      <c r="M64" s="4">
        <f t="shared" si="10"/>
        <v>6954.3082002804294</v>
      </c>
      <c r="O64" s="4">
        <f t="shared" si="11"/>
        <v>8804.8363615185772</v>
      </c>
      <c r="Q64" s="30">
        <f t="shared" si="12"/>
        <v>326.73417386584651</v>
      </c>
      <c r="S64" s="4"/>
    </row>
    <row r="65" spans="2:19" ht="15" customHeight="1">
      <c r="B65" s="34" t="s">
        <v>23</v>
      </c>
      <c r="C65" s="31">
        <v>1129522579.9319725</v>
      </c>
      <c r="D65" s="89"/>
      <c r="E65" s="31">
        <v>1808610921.550751</v>
      </c>
      <c r="F65" s="89"/>
      <c r="G65" s="31">
        <v>119549061.45000015</v>
      </c>
      <c r="H65" s="89"/>
      <c r="I65" s="63">
        <v>3057682562.9327235</v>
      </c>
      <c r="J65" s="17"/>
      <c r="K65" s="31">
        <v>17275.953701510007</v>
      </c>
      <c r="L65" s="17"/>
      <c r="M65" s="31">
        <v>6381.8200202570333</v>
      </c>
      <c r="N65" s="17"/>
      <c r="O65" s="31">
        <v>10218.679637819419</v>
      </c>
      <c r="P65" s="17"/>
      <c r="Q65" s="35">
        <v>675.4540434335529</v>
      </c>
      <c r="S65" s="4"/>
    </row>
    <row r="66" spans="2:19" ht="15" customHeight="1">
      <c r="C66" s="4"/>
      <c r="G66" s="6"/>
      <c r="M66" s="58"/>
    </row>
    <row r="67" spans="2:19" ht="76" customHeight="1">
      <c r="B67" s="74" t="s">
        <v>13</v>
      </c>
      <c r="C67" s="29" t="s">
        <v>54</v>
      </c>
      <c r="D67" s="32"/>
      <c r="E67" s="29" t="s">
        <v>74</v>
      </c>
      <c r="F67" s="32"/>
      <c r="G67" s="29" t="s">
        <v>75</v>
      </c>
      <c r="H67" s="32"/>
      <c r="I67" s="29" t="s">
        <v>76</v>
      </c>
      <c r="J67" s="32"/>
      <c r="K67" s="75" t="s">
        <v>80</v>
      </c>
    </row>
    <row r="68" spans="2:19" ht="15" customHeight="1">
      <c r="B68" s="122" t="s">
        <v>1</v>
      </c>
      <c r="C68" s="4">
        <f t="shared" ref="C68:C82" si="14">E5/C5</f>
        <v>31850.674217529227</v>
      </c>
      <c r="E68" s="84">
        <f t="shared" ref="E68:E82" si="15">(I30-O50-Q50)/C68</f>
        <v>0.83846008599897037</v>
      </c>
      <c r="G68" s="84">
        <f t="shared" ref="G68:G74" si="16">O50/C68</f>
        <v>0.15816854417454876</v>
      </c>
      <c r="H68" s="4"/>
      <c r="I68" s="84">
        <f t="shared" ref="I68:I74" si="17">Q50/C68</f>
        <v>3.3713698264808715E-3</v>
      </c>
      <c r="J68" s="4"/>
      <c r="K68" s="30">
        <f>C68*E68</f>
        <v>26705.519043554745</v>
      </c>
    </row>
    <row r="69" spans="2:19" ht="15" customHeight="1">
      <c r="B69" s="33" t="s">
        <v>2</v>
      </c>
      <c r="C69" s="4">
        <f t="shared" si="14"/>
        <v>25303.582903968636</v>
      </c>
      <c r="E69" s="84">
        <f t="shared" si="15"/>
        <v>0.65739609571464341</v>
      </c>
      <c r="G69" s="84">
        <f t="shared" si="16"/>
        <v>0.32745934432672907</v>
      </c>
      <c r="H69" s="4"/>
      <c r="I69" s="84">
        <f t="shared" si="17"/>
        <v>1.5144559958627355E-2</v>
      </c>
      <c r="J69" s="4"/>
      <c r="K69" s="30">
        <f t="shared" ref="K69:K82" si="18">C69*E69</f>
        <v>16634.476608660781</v>
      </c>
    </row>
    <row r="70" spans="2:19" ht="15" customHeight="1">
      <c r="B70" s="33" t="s">
        <v>3</v>
      </c>
      <c r="C70" s="4">
        <f t="shared" si="14"/>
        <v>25199.667154212224</v>
      </c>
      <c r="E70" s="84">
        <f t="shared" si="15"/>
        <v>0.7700947522086331</v>
      </c>
      <c r="G70" s="84">
        <f t="shared" si="16"/>
        <v>0.22905167588256656</v>
      </c>
      <c r="H70" s="4"/>
      <c r="I70" s="84">
        <f t="shared" si="17"/>
        <v>8.535719088003901E-4</v>
      </c>
      <c r="J70" s="4"/>
      <c r="K70" s="30">
        <f t="shared" si="18"/>
        <v>19406.131432863094</v>
      </c>
    </row>
    <row r="71" spans="2:19" ht="15" customHeight="1">
      <c r="B71" s="33" t="s">
        <v>4</v>
      </c>
      <c r="C71" s="4">
        <f t="shared" si="14"/>
        <v>22226.91808900324</v>
      </c>
      <c r="E71" s="84">
        <f t="shared" si="15"/>
        <v>0.59901534486044561</v>
      </c>
      <c r="G71" s="84">
        <f t="shared" si="16"/>
        <v>0.38855116748498597</v>
      </c>
      <c r="H71" s="4"/>
      <c r="I71" s="84">
        <f t="shared" si="17"/>
        <v>1.2433487654568386E-2</v>
      </c>
      <c r="J71" s="4"/>
      <c r="K71" s="30">
        <f t="shared" si="18"/>
        <v>13314.265004269153</v>
      </c>
    </row>
    <row r="72" spans="2:19" ht="15" customHeight="1">
      <c r="B72" s="33" t="s">
        <v>5</v>
      </c>
      <c r="C72" s="4">
        <f t="shared" si="14"/>
        <v>27473.447065619956</v>
      </c>
      <c r="E72" s="84">
        <f t="shared" si="15"/>
        <v>0.83233553720332021</v>
      </c>
      <c r="G72" s="84">
        <f t="shared" si="16"/>
        <v>0.16471349435826504</v>
      </c>
      <c r="H72" s="4"/>
      <c r="I72" s="84">
        <f t="shared" si="17"/>
        <v>2.9509684384147238E-3</v>
      </c>
      <c r="J72" s="4"/>
      <c r="K72" s="30">
        <f t="shared" si="18"/>
        <v>22867.126322189768</v>
      </c>
    </row>
    <row r="73" spans="2:19" ht="15" customHeight="1">
      <c r="B73" s="33" t="s">
        <v>6</v>
      </c>
      <c r="C73" s="4">
        <f t="shared" si="14"/>
        <v>24520.238552172901</v>
      </c>
      <c r="E73" s="84">
        <f t="shared" si="15"/>
        <v>0.67790564784590224</v>
      </c>
      <c r="G73" s="84">
        <f t="shared" si="16"/>
        <v>0.31339775556172561</v>
      </c>
      <c r="H73" s="4"/>
      <c r="I73" s="84">
        <f t="shared" si="17"/>
        <v>8.6965965923721644E-3</v>
      </c>
      <c r="J73" s="4"/>
      <c r="K73" s="30">
        <f t="shared" si="18"/>
        <v>16622.408201046837</v>
      </c>
    </row>
    <row r="74" spans="2:19" ht="15" customHeight="1">
      <c r="B74" s="33" t="s">
        <v>7</v>
      </c>
      <c r="C74" s="4">
        <f t="shared" si="14"/>
        <v>24973.593564945328</v>
      </c>
      <c r="E74" s="84">
        <f t="shared" si="15"/>
        <v>0.55263824963381014</v>
      </c>
      <c r="G74" s="84">
        <f t="shared" si="16"/>
        <v>0.42439252713172559</v>
      </c>
      <c r="H74" s="4"/>
      <c r="I74" s="84">
        <f t="shared" si="17"/>
        <v>2.2969223234464226E-2</v>
      </c>
      <c r="J74" s="4"/>
      <c r="K74" s="30">
        <f t="shared" si="18"/>
        <v>13801.36303479757</v>
      </c>
      <c r="L74" s="4"/>
    </row>
    <row r="75" spans="2:19" ht="15" customHeight="1">
      <c r="B75" s="166" t="s">
        <v>121</v>
      </c>
      <c r="C75" s="192" t="s">
        <v>175</v>
      </c>
      <c r="D75" s="170"/>
      <c r="E75" s="192" t="s">
        <v>175</v>
      </c>
      <c r="F75" s="170"/>
      <c r="G75" s="192" t="s">
        <v>175</v>
      </c>
      <c r="H75" s="169"/>
      <c r="I75" s="192" t="s">
        <v>175</v>
      </c>
      <c r="J75" s="169"/>
      <c r="K75" s="200" t="s">
        <v>175</v>
      </c>
      <c r="L75" s="4"/>
    </row>
    <row r="76" spans="2:19" ht="15" customHeight="1">
      <c r="B76" s="33" t="s">
        <v>8</v>
      </c>
      <c r="C76" s="4">
        <f t="shared" si="14"/>
        <v>24813.607705284296</v>
      </c>
      <c r="E76" s="84">
        <f t="shared" si="15"/>
        <v>0.57857900581392452</v>
      </c>
      <c r="G76" s="84">
        <f t="shared" ref="G76:G82" si="19">O58/C76</f>
        <v>0.4180785583750346</v>
      </c>
      <c r="H76" s="4"/>
      <c r="I76" s="84">
        <f t="shared" ref="I76:I82" si="20">Q58/C76</f>
        <v>3.3424358110408199E-3</v>
      </c>
      <c r="J76" s="4"/>
      <c r="K76" s="30">
        <f t="shared" si="18"/>
        <v>14356.632476780125</v>
      </c>
      <c r="L76" s="4"/>
    </row>
    <row r="77" spans="2:19" ht="15" customHeight="1">
      <c r="B77" s="33" t="s">
        <v>9</v>
      </c>
      <c r="C77" s="4">
        <f t="shared" si="14"/>
        <v>26136.826904109981</v>
      </c>
      <c r="E77" s="84">
        <f t="shared" si="15"/>
        <v>0.66656848774409994</v>
      </c>
      <c r="G77" s="84">
        <f t="shared" si="19"/>
        <v>0.31439742336766174</v>
      </c>
      <c r="H77" s="4"/>
      <c r="I77" s="84">
        <f t="shared" si="20"/>
        <v>1.9034088888238335E-2</v>
      </c>
      <c r="J77" s="4"/>
      <c r="K77" s="30">
        <f t="shared" si="18"/>
        <v>17421.985183901896</v>
      </c>
      <c r="L77" s="4"/>
    </row>
    <row r="78" spans="2:19" ht="15" customHeight="1">
      <c r="B78" s="166" t="s">
        <v>126</v>
      </c>
      <c r="C78" s="192" t="s">
        <v>175</v>
      </c>
      <c r="D78" s="170"/>
      <c r="E78" s="192" t="s">
        <v>175</v>
      </c>
      <c r="F78" s="170"/>
      <c r="G78" s="192" t="s">
        <v>175</v>
      </c>
      <c r="H78" s="169"/>
      <c r="I78" s="192" t="s">
        <v>175</v>
      </c>
      <c r="J78" s="169"/>
      <c r="K78" s="200" t="s">
        <v>175</v>
      </c>
      <c r="L78" s="4"/>
    </row>
    <row r="79" spans="2:19" ht="15" customHeight="1">
      <c r="B79" s="33" t="s">
        <v>10</v>
      </c>
      <c r="C79" s="4">
        <f t="shared" si="14"/>
        <v>22454.345848098958</v>
      </c>
      <c r="E79" s="84">
        <f t="shared" si="15"/>
        <v>0.56462301963720307</v>
      </c>
      <c r="G79" s="84">
        <f t="shared" si="19"/>
        <v>0.42558126612715436</v>
      </c>
      <c r="H79" s="4"/>
      <c r="I79" s="84">
        <f t="shared" si="20"/>
        <v>9.7957142356426066E-3</v>
      </c>
      <c r="J79" s="4"/>
      <c r="K79" s="30">
        <f t="shared" si="18"/>
        <v>12678.240556731727</v>
      </c>
      <c r="L79" s="4"/>
    </row>
    <row r="80" spans="2:19" ht="15" customHeight="1">
      <c r="B80" s="33" t="s">
        <v>11</v>
      </c>
      <c r="C80" s="4">
        <f t="shared" si="14"/>
        <v>22025.758373081808</v>
      </c>
      <c r="E80" s="84">
        <f t="shared" si="15"/>
        <v>0.34217754696170027</v>
      </c>
      <c r="G80" s="84">
        <f t="shared" si="19"/>
        <v>0.58996676267516479</v>
      </c>
      <c r="H80" s="4"/>
      <c r="I80" s="84">
        <f t="shared" si="20"/>
        <v>6.7855690363134977E-2</v>
      </c>
      <c r="J80" s="4"/>
      <c r="K80" s="30">
        <f t="shared" si="18"/>
        <v>7536.7199700722631</v>
      </c>
      <c r="L80" s="4"/>
    </row>
    <row r="81" spans="2:16" ht="15" customHeight="1">
      <c r="B81" s="166" t="s">
        <v>127</v>
      </c>
      <c r="C81" s="192" t="s">
        <v>175</v>
      </c>
      <c r="D81" s="170"/>
      <c r="E81" s="192" t="s">
        <v>175</v>
      </c>
      <c r="F81" s="170"/>
      <c r="G81" s="192" t="s">
        <v>175</v>
      </c>
      <c r="H81" s="169"/>
      <c r="I81" s="192" t="s">
        <v>175</v>
      </c>
      <c r="J81" s="169"/>
      <c r="K81" s="200" t="s">
        <v>175</v>
      </c>
      <c r="L81" s="4"/>
    </row>
    <row r="82" spans="2:16" ht="15" customHeight="1">
      <c r="B82" s="33" t="s">
        <v>12</v>
      </c>
      <c r="C82" s="4">
        <f t="shared" si="14"/>
        <v>25653.512602944262</v>
      </c>
      <c r="E82" s="84">
        <f t="shared" si="15"/>
        <v>0.64404209759811248</v>
      </c>
      <c r="G82" s="84">
        <f t="shared" si="19"/>
        <v>0.34322147215457904</v>
      </c>
      <c r="H82" s="4"/>
      <c r="I82" s="84">
        <f t="shared" si="20"/>
        <v>1.2736430247308399E-2</v>
      </c>
      <c r="J82" s="4"/>
      <c r="K82" s="30">
        <f t="shared" si="18"/>
        <v>16521.942067559838</v>
      </c>
      <c r="L82" s="4"/>
    </row>
    <row r="83" spans="2:16" ht="15" customHeight="1">
      <c r="B83" s="34" t="s">
        <v>23</v>
      </c>
      <c r="C83" s="31">
        <v>25231.502407644271</v>
      </c>
      <c r="D83" s="17"/>
      <c r="E83" s="85">
        <v>0.56823285806585855</v>
      </c>
      <c r="F83" s="8"/>
      <c r="G83" s="85">
        <v>0.40499687544264162</v>
      </c>
      <c r="H83" s="31"/>
      <c r="I83" s="85">
        <v>2.6770266491499679E-2</v>
      </c>
      <c r="J83" s="31"/>
      <c r="K83" s="35">
        <v>14337.368726391296</v>
      </c>
      <c r="L83" s="16"/>
    </row>
    <row r="84" spans="2:16" ht="15" customHeight="1">
      <c r="B84" s="212"/>
      <c r="C84" s="212"/>
      <c r="D84" s="69"/>
      <c r="E84" s="6"/>
      <c r="F84" s="70"/>
      <c r="G84" s="6"/>
      <c r="I84" s="6"/>
      <c r="K84" s="73"/>
      <c r="M84" s="73"/>
      <c r="N84" s="4"/>
      <c r="P84" s="4"/>
    </row>
    <row r="85" spans="2:16">
      <c r="C85" s="130"/>
      <c r="D85" s="130"/>
      <c r="E85" s="130"/>
      <c r="F85" s="130"/>
      <c r="G85" s="130"/>
    </row>
    <row r="95" spans="2:16">
      <c r="B95" s="37" t="s">
        <v>54</v>
      </c>
      <c r="C95" s="6">
        <f>C83</f>
        <v>25231.502407644271</v>
      </c>
    </row>
    <row r="96" spans="2:16">
      <c r="B96" s="37" t="s">
        <v>160</v>
      </c>
      <c r="C96" s="6">
        <f>C45/C20</f>
        <v>20784.930898598104</v>
      </c>
    </row>
    <row r="97" spans="2:3">
      <c r="B97" s="37" t="s">
        <v>161</v>
      </c>
      <c r="C97" s="6" t="e">
        <f>#REF!/'Institution Summary'!C20</f>
        <v>#REF!</v>
      </c>
    </row>
  </sheetData>
  <mergeCells count="6">
    <mergeCell ref="B84:C84"/>
    <mergeCell ref="B2:M2"/>
    <mergeCell ref="B27:M27"/>
    <mergeCell ref="B47:Q47"/>
    <mergeCell ref="B24:M25"/>
    <mergeCell ref="B21:M23"/>
  </mergeCells>
  <phoneticPr fontId="23" type="noConversion"/>
  <conditionalFormatting sqref="C85:G85">
    <cfRule type="cellIs" dxfId="0" priority="3" operator="lessThan">
      <formula>0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705E-75A5-C047-BE60-BB7961B3B597}">
  <sheetPr codeName="Sheet4">
    <tabColor theme="9"/>
  </sheetPr>
  <dimension ref="A1:AB37"/>
  <sheetViews>
    <sheetView zoomScaleNormal="100" workbookViewId="0">
      <pane xSplit="2" topLeftCell="C1" activePane="topRight" state="frozen"/>
      <selection pane="topRight" activeCell="AA20" sqref="AA20"/>
    </sheetView>
  </sheetViews>
  <sheetFormatPr defaultColWidth="10.90625" defaultRowHeight="14.5"/>
  <cols>
    <col min="1" max="1" width="4.453125" customWidth="1"/>
    <col min="2" max="2" width="40.6328125" bestFit="1" customWidth="1"/>
    <col min="3" max="3" width="12.453125" customWidth="1"/>
    <col min="4" max="4" width="3.81640625" customWidth="1"/>
    <col min="5" max="5" width="14.81640625" customWidth="1"/>
    <col min="6" max="6" width="3.81640625" customWidth="1"/>
    <col min="7" max="7" width="13.36328125" customWidth="1"/>
    <col min="8" max="8" width="14.81640625" customWidth="1"/>
    <col min="9" max="10" width="13.36328125" customWidth="1"/>
    <col min="11" max="13" width="14.81640625" customWidth="1"/>
    <col min="14" max="14" width="3.6328125" customWidth="1"/>
    <col min="15" max="17" width="13.453125" customWidth="1"/>
    <col min="18" max="18" width="3.6328125" customWidth="1"/>
    <col min="19" max="20" width="17.453125" customWidth="1"/>
    <col min="21" max="21" width="3.81640625" customWidth="1"/>
    <col min="22" max="25" width="19" customWidth="1"/>
    <col min="26" max="26" width="5.81640625" customWidth="1"/>
    <col min="27" max="27" width="15" customWidth="1"/>
    <col min="28" max="28" width="4.1796875" customWidth="1"/>
  </cols>
  <sheetData>
    <row r="1" spans="1:28" ht="32" customHeight="1">
      <c r="G1" s="216" t="s">
        <v>14</v>
      </c>
      <c r="H1" s="216"/>
      <c r="I1" s="216"/>
      <c r="J1" s="216"/>
      <c r="K1" s="216"/>
      <c r="L1" s="216"/>
      <c r="M1" s="216"/>
    </row>
    <row r="2" spans="1:28" s="9" customFormat="1" ht="34" customHeight="1">
      <c r="A2" s="21"/>
      <c r="B2" s="60"/>
      <c r="C2" s="216" t="s">
        <v>44</v>
      </c>
      <c r="D2" s="14"/>
      <c r="E2" s="36" t="s">
        <v>43</v>
      </c>
      <c r="F2" s="14"/>
      <c r="G2" s="36" t="s">
        <v>59</v>
      </c>
      <c r="H2" s="217" t="s">
        <v>113</v>
      </c>
      <c r="I2" s="217" t="s">
        <v>122</v>
      </c>
      <c r="J2" s="216" t="s">
        <v>164</v>
      </c>
      <c r="K2" s="36" t="s">
        <v>60</v>
      </c>
      <c r="L2" s="36" t="s">
        <v>165</v>
      </c>
      <c r="M2" s="36" t="s">
        <v>157</v>
      </c>
      <c r="O2" s="216" t="s">
        <v>15</v>
      </c>
      <c r="P2" s="216"/>
      <c r="Q2" s="216"/>
      <c r="S2" s="216" t="s">
        <v>33</v>
      </c>
      <c r="T2" s="216"/>
      <c r="V2" s="216" t="s">
        <v>35</v>
      </c>
      <c r="W2" s="216"/>
      <c r="X2" s="216"/>
      <c r="Y2" s="216"/>
      <c r="AA2" s="216" t="s">
        <v>34</v>
      </c>
    </row>
    <row r="3" spans="1:28" s="9" customFormat="1" ht="32" customHeight="1">
      <c r="A3" s="15"/>
      <c r="B3" s="20" t="s">
        <v>13</v>
      </c>
      <c r="C3" s="217"/>
      <c r="D3" s="11"/>
      <c r="E3" s="38">
        <f>'Model Costs and Assumptions'!C4</f>
        <v>3332.78</v>
      </c>
      <c r="F3" s="11"/>
      <c r="G3" s="38">
        <f>'Model Costs and Assumptions'!C5</f>
        <v>9797.3371941068835</v>
      </c>
      <c r="H3" s="217"/>
      <c r="I3" s="217"/>
      <c r="J3" s="217"/>
      <c r="K3" s="65">
        <f>'Model Costs and Assumptions'!D21</f>
        <v>0.2</v>
      </c>
      <c r="L3" s="65">
        <f>'Model Costs and Assumptions'!D22</f>
        <v>1</v>
      </c>
      <c r="M3" s="65">
        <f>'Model Costs and Assumptions'!D23</f>
        <v>11</v>
      </c>
      <c r="O3" s="86" t="s">
        <v>56</v>
      </c>
      <c r="P3" s="38">
        <f>'Model Costs and Assumptions'!C6</f>
        <v>800</v>
      </c>
      <c r="Q3" s="38" t="s">
        <v>96</v>
      </c>
      <c r="S3" s="38">
        <f>'Model Costs and Assumptions'!C7</f>
        <v>1941.27</v>
      </c>
      <c r="T3" s="38" t="s">
        <v>62</v>
      </c>
      <c r="V3" s="38" t="s">
        <v>64</v>
      </c>
      <c r="W3" s="38" t="s">
        <v>65</v>
      </c>
      <c r="X3" s="38" t="str">
        <f>CONCATENATE("$",ROUND('Model Costs and Assumptions'!$C$8,0)," - $",ROUND('Model Costs and Assumptions'!$C$8+'Model Costs and Assumptions'!$D$31,0))</f>
        <v>$5 - $7</v>
      </c>
      <c r="Y3" s="38" t="str">
        <f>CONCATENATE("Minor Remodeling ($",ROUND('Model Costs and Assumptions'!$C$9,1),")")</f>
        <v>Minor Remodeling ($2.7)</v>
      </c>
      <c r="AA3" s="217"/>
    </row>
    <row r="4" spans="1:28">
      <c r="A4" s="15"/>
      <c r="B4" s="1" t="s">
        <v>1</v>
      </c>
      <c r="C4" s="39">
        <f>VLOOKUP($B4,'School Data'!$B$2:$W$18,4,FALSE)</f>
        <v>2321.6666666666665</v>
      </c>
      <c r="D4" s="3"/>
      <c r="E4" s="4">
        <f>C4*$E$3</f>
        <v>7737604.2333333334</v>
      </c>
      <c r="F4" s="4"/>
      <c r="G4" s="4">
        <f>$G$3*C4</f>
        <v>22746151.185651481</v>
      </c>
      <c r="H4" s="164">
        <f>VLOOKUP($B4,'School Data'!$B$2:$W$18,5,FALSE)</f>
        <v>5.0421476263259594E-2</v>
      </c>
      <c r="I4" s="164">
        <f>VLOOKUP($B4,'School Data'!$B$2:$W$18,6,FALSE)</f>
        <v>6.4590210994689257E-2</v>
      </c>
      <c r="J4" s="164">
        <f>VLOOKUP($B4,'School Data'!$B$2:$W$18,7,FALSE)</f>
        <v>0</v>
      </c>
      <c r="K4" s="4">
        <f>C4*H4*(G$3*K$3)</f>
        <v>229378.90441756806</v>
      </c>
      <c r="L4" s="4">
        <f>C4*I4*(G$3*L$3)</f>
        <v>1469178.7043983301</v>
      </c>
      <c r="M4" s="4">
        <f>C4*J4*(G$3*(M$3))</f>
        <v>0</v>
      </c>
      <c r="O4" t="str">
        <f>VLOOKUP($B4,'School Data'!$B$2:$W$18,8,FALSE)</f>
        <v>Masters</v>
      </c>
      <c r="P4" s="4">
        <f>C4*$P$3</f>
        <v>1857333.3333333333</v>
      </c>
      <c r="Q4" s="4">
        <f>IF(O4="R2",C4*'Model Costs and Assumptions'!$D$28,IF(O4="R1",C4*'Model Costs and Assumptions'!$D$29,IF(O4="R3",C4*'Model Costs and Assumptions'!$D$27,0)))</f>
        <v>0</v>
      </c>
      <c r="S4" s="4">
        <f t="shared" ref="S4:S18" si="0">C4*$S$3</f>
        <v>4506981.8499999996</v>
      </c>
      <c r="T4" s="4">
        <f>'School Size Adjustment'!E2</f>
        <v>1792708.3681106248</v>
      </c>
      <c r="V4" s="41">
        <f>VLOOKUP($B4,'School Data'!$B$2:$W$18,9,FALSE)</f>
        <v>1070837.6666666667</v>
      </c>
      <c r="W4" s="41">
        <f>VLOOKUP($B4,'School Data'!$B$2:$W$18,10,FALSE)</f>
        <v>187839.25</v>
      </c>
      <c r="X4" s="4">
        <f>V4*'Model Costs and Assumptions'!$C$8+('Model Costs and Assumptions'!$C$8+'Model Costs and Assumptions'!$D$31)*W4</f>
        <v>6733698.2583333338</v>
      </c>
      <c r="Y4" s="4">
        <f>(V4+W4)*'Model Costs and Assumptions'!$C$9</f>
        <v>3348080.5983333336</v>
      </c>
      <c r="Z4" s="4"/>
      <c r="AA4" s="12">
        <f>Y4+S4+Q4+P4+G4+K4+E4+M4+T4+X4+L4</f>
        <v>50421115.435911335</v>
      </c>
      <c r="AB4" s="4"/>
    </row>
    <row r="5" spans="1:28">
      <c r="A5" s="15"/>
      <c r="B5" s="1" t="s">
        <v>2</v>
      </c>
      <c r="C5" s="39">
        <f>VLOOKUP($B5,'School Data'!$B$2:$W$18,4,FALSE)</f>
        <v>6339.3333333333321</v>
      </c>
      <c r="D5" s="3"/>
      <c r="E5" s="4">
        <f t="shared" ref="E5:E18" si="1">C5*$E$3</f>
        <v>21127603.346666664</v>
      </c>
      <c r="F5" s="4"/>
      <c r="G5" s="4">
        <f t="shared" ref="G5:G18" si="2">$G$3*C5</f>
        <v>62108586.252508223</v>
      </c>
      <c r="H5" s="164">
        <f>VLOOKUP($B5,'School Data'!$B$2:$W$18,5,FALSE)</f>
        <v>0.11720681181055354</v>
      </c>
      <c r="I5" s="164">
        <f>VLOOKUP($B5,'School Data'!$B$2:$W$18,6,FALSE)</f>
        <v>1.0410094637223975E-2</v>
      </c>
      <c r="J5" s="164">
        <f>VLOOKUP($B5,'School Data'!$B$2:$W$18,7,FALSE)</f>
        <v>0</v>
      </c>
      <c r="K5" s="4">
        <f t="shared" ref="K5:K18" si="3">C5*H5*(G$3*K$3)</f>
        <v>1455909.8761434529</v>
      </c>
      <c r="L5" s="4">
        <f t="shared" ref="L5:L18" si="4">C5*I5*(G$3*L$3)</f>
        <v>646556.26067279861</v>
      </c>
      <c r="M5" s="4">
        <f t="shared" ref="M5:M18" si="5">C5*J5*(G$3*(M$3))</f>
        <v>0</v>
      </c>
      <c r="O5" t="str">
        <f>VLOOKUP($B5,'School Data'!$B$2:$W$18,8,FALSE)</f>
        <v>Masters</v>
      </c>
      <c r="P5" s="4">
        <f t="shared" ref="P5:P18" si="6">C5*$P$3</f>
        <v>5071466.666666666</v>
      </c>
      <c r="Q5" s="4">
        <f>IF(O5="R2",C5*'Model Costs and Assumptions'!$D$28,IF(O5="R1",C5*'Model Costs and Assumptions'!$D$29,IF(O5="R3",C5*'Model Costs and Assumptions'!$D$27,0)))</f>
        <v>0</v>
      </c>
      <c r="S5" s="4">
        <f t="shared" si="0"/>
        <v>12306357.619999997</v>
      </c>
      <c r="T5" s="4">
        <f>'School Size Adjustment'!E3</f>
        <v>3782543.6098712999</v>
      </c>
      <c r="V5" s="41">
        <f>VLOOKUP($B5,'School Data'!$B$2:$W$18,9,FALSE)</f>
        <v>1429371.96</v>
      </c>
      <c r="W5" s="41">
        <f>VLOOKUP($B5,'School Data'!$B$2:$W$18,10,FALSE)</f>
        <v>245773.04</v>
      </c>
      <c r="X5" s="4">
        <f>V5*'Model Costs and Assumptions'!$C$8+('Model Costs and Assumptions'!$C$8+'Model Costs and Assumptions'!$D$31)*W5</f>
        <v>8955232.8816</v>
      </c>
      <c r="Y5" s="4">
        <f>(V5+W5)*'Model Costs and Assumptions'!$C$9</f>
        <v>4455885.7</v>
      </c>
      <c r="Z5" s="4"/>
      <c r="AA5" s="12">
        <f t="shared" ref="AA5:AA18" si="7">Y5+S5+Q5+P5+G5+K5+E5+M5+T5+X5+L5</f>
        <v>119910142.21412911</v>
      </c>
      <c r="AB5" s="4"/>
    </row>
    <row r="6" spans="1:28">
      <c r="A6" s="15"/>
      <c r="B6" s="1" t="s">
        <v>3</v>
      </c>
      <c r="C6" s="39">
        <f>VLOOKUP($B6,'School Data'!$B$2:$W$18,4,FALSE)</f>
        <v>4411.6666666666661</v>
      </c>
      <c r="D6" s="3"/>
      <c r="E6" s="4">
        <f t="shared" si="1"/>
        <v>14703114.433333332</v>
      </c>
      <c r="F6" s="4"/>
      <c r="G6" s="4">
        <f t="shared" si="2"/>
        <v>43222585.921334863</v>
      </c>
      <c r="H6" s="164">
        <f>VLOOKUP($B6,'School Data'!$B$2:$W$18,5,FALSE)</f>
        <v>8.8453719825029642E-2</v>
      </c>
      <c r="I6" s="164">
        <f>VLOOKUP($B6,'School Data'!$B$2:$W$18,6,FALSE)</f>
        <v>2.4696019938071145E-2</v>
      </c>
      <c r="J6" s="164">
        <f>VLOOKUP($B6,'School Data'!$B$2:$W$18,7,FALSE)</f>
        <v>0</v>
      </c>
      <c r="K6" s="4">
        <f t="shared" si="3"/>
        <v>764639.70103980496</v>
      </c>
      <c r="L6" s="4">
        <f t="shared" si="4"/>
        <v>1067425.8436882789</v>
      </c>
      <c r="M6" s="4">
        <f t="shared" si="5"/>
        <v>0</v>
      </c>
      <c r="O6" t="str">
        <f>VLOOKUP($B6,'School Data'!$B$2:$W$18,8,FALSE)</f>
        <v>Masters</v>
      </c>
      <c r="P6" s="4">
        <f t="shared" si="6"/>
        <v>3529333.333333333</v>
      </c>
      <c r="Q6" s="4">
        <f>IF(O6="R2",C6*'Model Costs and Assumptions'!$D$28,IF(O6="R1",C6*'Model Costs and Assumptions'!$D$29,IF(O6="R3",C6*'Model Costs and Assumptions'!$D$27,0)))</f>
        <v>0</v>
      </c>
      <c r="S6" s="4">
        <f t="shared" si="0"/>
        <v>8564236.1499999985</v>
      </c>
      <c r="T6" s="4">
        <f>'School Size Adjustment'!E4</f>
        <v>3003798.7766606244</v>
      </c>
      <c r="V6" s="41">
        <f>VLOOKUP($B6,'School Data'!$B$2:$W$18,9,FALSE)</f>
        <v>578484.00008999999</v>
      </c>
      <c r="W6" s="41">
        <f>VLOOKUP($B6,'School Data'!$B$2:$W$18,10,FALSE)</f>
        <v>143924.76</v>
      </c>
      <c r="X6" s="4">
        <f>V6*'Model Costs and Assumptions'!$C$8+('Model Costs and Assumptions'!$C$8+'Model Costs and Assumptions'!$D$31)*W6</f>
        <v>3920376.9820607998</v>
      </c>
      <c r="Y6" s="4">
        <f>(V6+W6)*'Model Costs and Assumptions'!$C$9</f>
        <v>1921607.3018394001</v>
      </c>
      <c r="Z6" s="4"/>
      <c r="AA6" s="12">
        <f t="shared" si="7"/>
        <v>80697118.443290442</v>
      </c>
      <c r="AB6" s="4"/>
    </row>
    <row r="7" spans="1:28">
      <c r="A7" s="15"/>
      <c r="B7" s="1" t="s">
        <v>4</v>
      </c>
      <c r="C7" s="39">
        <f>VLOOKUP($B7,'School Data'!$B$2:$W$18,4,FALSE)</f>
        <v>20425.333333333332</v>
      </c>
      <c r="D7" s="3"/>
      <c r="E7" s="4">
        <f t="shared" si="1"/>
        <v>68073142.426666662</v>
      </c>
      <c r="F7" s="4"/>
      <c r="G7" s="4">
        <f t="shared" si="2"/>
        <v>200113877.96869779</v>
      </c>
      <c r="H7" s="164">
        <f>VLOOKUP($B7,'School Data'!$B$2:$W$18,5,FALSE)</f>
        <v>0.19111695555574329</v>
      </c>
      <c r="I7" s="164">
        <f>VLOOKUP($B7,'School Data'!$B$2:$W$18,6,FALSE)</f>
        <v>7.4412532637075715E-3</v>
      </c>
      <c r="J7" s="164">
        <f>VLOOKUP($B7,'School Data'!$B$2:$W$18,7,FALSE)</f>
        <v>0</v>
      </c>
      <c r="K7" s="4">
        <f t="shared" si="3"/>
        <v>7649031.0243662102</v>
      </c>
      <c r="L7" s="4">
        <f t="shared" si="4"/>
        <v>1489098.0475477509</v>
      </c>
      <c r="M7" s="4">
        <f t="shared" si="5"/>
        <v>0</v>
      </c>
      <c r="O7" t="str">
        <f>VLOOKUP($B7,'School Data'!$B$2:$W$18,8,FALSE)</f>
        <v>R2</v>
      </c>
      <c r="P7" s="4">
        <f t="shared" si="6"/>
        <v>16340266.666666666</v>
      </c>
      <c r="Q7" s="4">
        <f>IF(O7="R2",C7*'Model Costs and Assumptions'!$D$28,IF(O7="R1",C7*'Model Costs and Assumptions'!$D$29,IF(O7="R3",C7*'Model Costs and Assumptions'!$D$27,0)))</f>
        <v>14297733.333333332</v>
      </c>
      <c r="S7" s="4">
        <f t="shared" si="0"/>
        <v>39651086.839999996</v>
      </c>
      <c r="T7" s="4">
        <f>'School Size Adjustment'!E5</f>
        <v>0</v>
      </c>
      <c r="V7" s="41">
        <f>VLOOKUP($B7,'School Data'!$B$2:$W$18,9,FALSE)</f>
        <v>2733804.7233333336</v>
      </c>
      <c r="W7" s="41">
        <f>VLOOKUP($B7,'School Data'!$B$2:$W$18,10,FALSE)</f>
        <v>678582.61</v>
      </c>
      <c r="X7" s="4">
        <f>V7*'Model Costs and Assumptions'!$C$8+('Model Costs and Assumptions'!$C$8+'Model Costs and Assumptions'!$D$31)*W7</f>
        <v>18516440.366066668</v>
      </c>
      <c r="Y7" s="4">
        <f>(V7+W7)*'Model Costs and Assumptions'!$C$9</f>
        <v>9076950.3066666666</v>
      </c>
      <c r="Z7" s="4"/>
      <c r="AA7" s="12">
        <f t="shared" si="7"/>
        <v>375207626.98001176</v>
      </c>
      <c r="AB7" s="4"/>
    </row>
    <row r="8" spans="1:28">
      <c r="A8" s="15"/>
      <c r="B8" s="1" t="s">
        <v>5</v>
      </c>
      <c r="C8" s="39">
        <f>VLOOKUP($B8,'School Data'!$B$2:$W$18,4,FALSE)</f>
        <v>5942.6666666666661</v>
      </c>
      <c r="D8" s="3"/>
      <c r="E8" s="4">
        <f t="shared" si="1"/>
        <v>19805600.613333333</v>
      </c>
      <c r="F8" s="4"/>
      <c r="G8" s="4">
        <f t="shared" si="2"/>
        <v>58222309.165512502</v>
      </c>
      <c r="H8" s="164">
        <f>VLOOKUP($B8,'School Data'!$B$2:$W$18,5,FALSE)</f>
        <v>0.1220752984389348</v>
      </c>
      <c r="I8" s="164">
        <f>VLOOKUP($B8,'School Data'!$B$2:$W$18,6,FALSE)</f>
        <v>0</v>
      </c>
      <c r="J8" s="164">
        <f>VLOOKUP($B8,'School Data'!$B$2:$W$18,7,FALSE)</f>
        <v>0</v>
      </c>
      <c r="K8" s="4">
        <f t="shared" si="3"/>
        <v>1421501.1534367737</v>
      </c>
      <c r="L8" s="4">
        <f t="shared" si="4"/>
        <v>0</v>
      </c>
      <c r="M8" s="4">
        <f t="shared" si="5"/>
        <v>0</v>
      </c>
      <c r="O8" t="str">
        <f>VLOOKUP($B8,'School Data'!$B$2:$W$18,8,FALSE)</f>
        <v>Masters</v>
      </c>
      <c r="P8" s="4">
        <f t="shared" si="6"/>
        <v>4754133.333333333</v>
      </c>
      <c r="Q8" s="4">
        <f>IF(O8="R2",C8*'Model Costs and Assumptions'!$D$28,IF(O8="R1",C8*'Model Costs and Assumptions'!$D$29,IF(O8="R3",C8*'Model Costs and Assumptions'!$D$27,0)))</f>
        <v>0</v>
      </c>
      <c r="S8" s="4">
        <f t="shared" si="0"/>
        <v>11536320.52</v>
      </c>
      <c r="T8" s="4">
        <f>'School Size Adjustment'!E6</f>
        <v>3648822.8172708</v>
      </c>
      <c r="V8" s="41">
        <f>VLOOKUP($B8,'School Data'!$B$2:$W$18,9,FALSE)</f>
        <v>1233938.8500000001</v>
      </c>
      <c r="W8" s="41">
        <f>VLOOKUP($B8,'School Data'!$B$2:$W$18,10,FALSE)</f>
        <v>162137.54999999999</v>
      </c>
      <c r="X8" s="4">
        <f>V8*'Model Costs and Assumptions'!$C$8+('Model Costs and Assumptions'!$C$8+'Model Costs and Assumptions'!$D$31)*W8</f>
        <v>7397602.9950000001</v>
      </c>
      <c r="Y8" s="4">
        <f>(V8+W8)*'Model Costs and Assumptions'!$C$9</f>
        <v>3713563.2240000004</v>
      </c>
      <c r="Z8" s="4"/>
      <c r="AA8" s="12">
        <f t="shared" si="7"/>
        <v>110499853.82188675</v>
      </c>
      <c r="AB8" s="4"/>
    </row>
    <row r="9" spans="1:28">
      <c r="A9" s="15"/>
      <c r="B9" s="1" t="s">
        <v>6</v>
      </c>
      <c r="C9" s="39">
        <f>VLOOKUP($B9,'School Data'!$B$2:$W$18,4,FALSE)</f>
        <v>15855.666666666666</v>
      </c>
      <c r="D9" s="3"/>
      <c r="E9" s="4">
        <f t="shared" si="1"/>
        <v>52843448.753333338</v>
      </c>
      <c r="F9" s="4"/>
      <c r="G9" s="4">
        <f t="shared" si="2"/>
        <v>155343312.77069405</v>
      </c>
      <c r="H9" s="164">
        <f>VLOOKUP($B9,'School Data'!$B$2:$W$18,5,FALSE)</f>
        <v>0.18963294276383771</v>
      </c>
      <c r="I9" s="164">
        <f>VLOOKUP($B9,'School Data'!$B$2:$W$18,6,FALSE)</f>
        <v>1.2677388836329235E-2</v>
      </c>
      <c r="J9" s="164">
        <f>VLOOKUP($B9,'School Data'!$B$2:$W$18,7,FALSE)</f>
        <v>0</v>
      </c>
      <c r="K9" s="4">
        <f t="shared" si="3"/>
        <v>5891641.9078779928</v>
      </c>
      <c r="L9" s="4">
        <f t="shared" si="4"/>
        <v>1969347.5791175971</v>
      </c>
      <c r="M9" s="4">
        <f t="shared" si="5"/>
        <v>0</v>
      </c>
      <c r="O9" t="str">
        <f>VLOOKUP($B9,'School Data'!$B$2:$W$18,8,FALSE)</f>
        <v>R2</v>
      </c>
      <c r="P9" s="4">
        <f t="shared" si="6"/>
        <v>12684533.333333332</v>
      </c>
      <c r="Q9" s="4">
        <f>IF(O9="R2",C9*'Model Costs and Assumptions'!$D$28,IF(O9="R1",C9*'Model Costs and Assumptions'!$D$29,IF(O9="R3",C9*'Model Costs and Assumptions'!$D$27,0)))</f>
        <v>11098966.666666666</v>
      </c>
      <c r="R9" s="16"/>
      <c r="S9" s="4">
        <f t="shared" si="0"/>
        <v>30780130.029999997</v>
      </c>
      <c r="T9" s="4">
        <f>'School Size Adjustment'!E7</f>
        <v>2870170.1749724257</v>
      </c>
      <c r="V9" s="41">
        <f>VLOOKUP($B9,'School Data'!$B$2:$W$18,9,FALSE)</f>
        <v>3568426.69</v>
      </c>
      <c r="W9" s="41">
        <f>VLOOKUP($B9,'School Data'!$B$2:$W$18,10,FALSE)</f>
        <v>831092.30999999994</v>
      </c>
      <c r="X9" s="4">
        <f>V9*'Model Costs and Assumptions'!$C$8+('Model Costs and Assumptions'!$C$8+'Model Costs and Assumptions'!$D$31)*W9</f>
        <v>23805419.437400002</v>
      </c>
      <c r="Y9" s="4">
        <f>(V9+W9)*'Model Costs and Assumptions'!$C$9</f>
        <v>11702720.540000001</v>
      </c>
      <c r="Z9" s="4"/>
      <c r="AA9" s="12">
        <f t="shared" si="7"/>
        <v>308989691.19339538</v>
      </c>
      <c r="AB9" s="4"/>
    </row>
    <row r="10" spans="1:28">
      <c r="A10" s="15"/>
      <c r="B10" s="1" t="s">
        <v>7</v>
      </c>
      <c r="C10" s="39">
        <f>VLOOKUP($B10,'School Data'!$B$2:$W$18,4,FALSE)</f>
        <v>10656.666666666666</v>
      </c>
      <c r="D10" s="3"/>
      <c r="E10" s="4">
        <f t="shared" si="1"/>
        <v>35516325.533333331</v>
      </c>
      <c r="F10" s="4"/>
      <c r="G10" s="4">
        <f t="shared" si="2"/>
        <v>104406956.69853234</v>
      </c>
      <c r="H10" s="164">
        <f>VLOOKUP($B10,'School Data'!$B$2:$W$18,5,FALSE)</f>
        <v>0.17035425435774498</v>
      </c>
      <c r="I10" s="164">
        <f>VLOOKUP($B10,'School Data'!$B$2:$W$18,6,FALSE)</f>
        <v>4.6918986549890507E-3</v>
      </c>
      <c r="J10" s="164">
        <f>VLOOKUP($B10,'School Data'!$B$2:$W$18,7,FALSE)</f>
        <v>0</v>
      </c>
      <c r="K10" s="4">
        <f t="shared" si="3"/>
        <v>3557233.8516279696</v>
      </c>
      <c r="L10" s="4">
        <f t="shared" si="4"/>
        <v>489866.85970534396</v>
      </c>
      <c r="M10" s="4">
        <f t="shared" si="5"/>
        <v>0</v>
      </c>
      <c r="O10" t="str">
        <f>VLOOKUP($B10,'School Data'!$B$2:$W$18,8,FALSE)</f>
        <v>R2</v>
      </c>
      <c r="P10" s="4">
        <f t="shared" si="6"/>
        <v>8525333.3333333321</v>
      </c>
      <c r="Q10" s="4">
        <f>IF(O10="R2",C10*'Model Costs and Assumptions'!$D$28,IF(O10="R1",C10*'Model Costs and Assumptions'!$D$29,IF(O10="R3",C10*'Model Costs and Assumptions'!$D$27,0)))</f>
        <v>7459666.666666666</v>
      </c>
      <c r="S10" s="4">
        <f t="shared" si="0"/>
        <v>20687467.299999997</v>
      </c>
      <c r="T10" s="4">
        <f>'School Size Adjustment'!E8</f>
        <v>4318563.9519734252</v>
      </c>
      <c r="V10" s="41">
        <f>VLOOKUP($B10,'School Data'!$B$2:$W$18,9,FALSE)</f>
        <v>2833820.4866666668</v>
      </c>
      <c r="W10" s="41">
        <f>VLOOKUP($B10,'School Data'!$B$2:$W$18,10,FALSE)</f>
        <v>1520276.5133333332</v>
      </c>
      <c r="X10" s="4">
        <f>V10*'Model Costs and Assumptions'!$C$8+('Model Costs and Assumptions'!$C$8+'Model Costs and Assumptions'!$D$31)*W10</f>
        <v>24634202.470533334</v>
      </c>
      <c r="Y10" s="4">
        <f>(V10+W10)*'Model Costs and Assumptions'!$C$9</f>
        <v>11581898.020000001</v>
      </c>
      <c r="Z10" s="4"/>
      <c r="AA10" s="12">
        <f t="shared" si="7"/>
        <v>221177514.68570578</v>
      </c>
      <c r="AB10" s="4"/>
    </row>
    <row r="11" spans="1:28">
      <c r="A11" s="15"/>
      <c r="B11" s="1" t="s">
        <v>121</v>
      </c>
      <c r="C11" s="39">
        <f>VLOOKUP($B11,'School Data'!$B$2:$W$18,4,FALSE)</f>
        <v>405.66666666666663</v>
      </c>
      <c r="D11" s="3"/>
      <c r="E11" s="4">
        <f t="shared" si="1"/>
        <v>1351997.7533333332</v>
      </c>
      <c r="F11" s="4"/>
      <c r="G11" s="4">
        <f t="shared" si="2"/>
        <v>3974453.1217426918</v>
      </c>
      <c r="H11" s="164">
        <f>VLOOKUP($B11,'School Data'!$B$2:$W$18,5,FALSE)</f>
        <v>0</v>
      </c>
      <c r="I11" s="164">
        <f>VLOOKUP($B11,'School Data'!$B$2:$W$18,6,FALSE)</f>
        <v>0</v>
      </c>
      <c r="J11" s="164">
        <f>VLOOKUP($B11,'School Data'!$B$2:$W$18,7,FALSE)</f>
        <v>0.74876847290640391</v>
      </c>
      <c r="K11" s="4">
        <f t="shared" si="3"/>
        <v>0</v>
      </c>
      <c r="L11" s="4">
        <f t="shared" si="4"/>
        <v>0</v>
      </c>
      <c r="M11" s="4">
        <f t="shared" si="5"/>
        <v>32735397.140659016</v>
      </c>
      <c r="O11" t="str">
        <f>VLOOKUP($B11,'School Data'!$B$2:$W$18,8,FALSE)</f>
        <v>R2</v>
      </c>
      <c r="P11" s="4">
        <f t="shared" si="6"/>
        <v>324533.33333333331</v>
      </c>
      <c r="Q11" s="4">
        <f>IF(O11="R2",C11*'Model Costs and Assumptions'!$D$28,IF(O11="R1",C11*'Model Costs and Assumptions'!$D$29,IF(O11="R3",C11*'Model Costs and Assumptions'!$D$27,0)))</f>
        <v>283966.66666666663</v>
      </c>
      <c r="S11" s="4">
        <f t="shared" si="0"/>
        <v>787508.52999999991</v>
      </c>
      <c r="T11" s="4">
        <f>'School Size Adjustment'!E9</f>
        <v>0</v>
      </c>
      <c r="V11" s="41">
        <f>VLOOKUP($B11,'School Data'!$B$2:$W$18,9,FALSE)</f>
        <v>842875.18</v>
      </c>
      <c r="W11" s="41">
        <f>VLOOKUP($B11,'School Data'!$B$2:$W$18,10,FALSE)</f>
        <v>82115.819999999992</v>
      </c>
      <c r="X11" s="4">
        <f>V11*'Model Costs and Assumptions'!$C$8+('Model Costs and Assumptions'!$C$8+'Model Costs and Assumptions'!$D$31)*W11</f>
        <v>4862412.2828000002</v>
      </c>
      <c r="Y11" s="4">
        <f>(V11+W11)*'Model Costs and Assumptions'!$C$9</f>
        <v>2460476.06</v>
      </c>
      <c r="Z11" s="4"/>
      <c r="AA11" s="12">
        <f t="shared" si="7"/>
        <v>46780744.888535038</v>
      </c>
      <c r="AB11" s="4"/>
    </row>
    <row r="12" spans="1:28">
      <c r="A12" s="15"/>
      <c r="B12" s="1" t="s">
        <v>8</v>
      </c>
      <c r="C12" s="39">
        <f>VLOOKUP($B12,'School Data'!$B$2:$W$18,4,FALSE)</f>
        <v>12660</v>
      </c>
      <c r="D12" s="3"/>
      <c r="E12" s="4">
        <f t="shared" si="1"/>
        <v>42192994.800000004</v>
      </c>
      <c r="F12" s="4"/>
      <c r="G12" s="4">
        <f t="shared" si="2"/>
        <v>124034288.87739314</v>
      </c>
      <c r="H12" s="164">
        <f>VLOOKUP($B12,'School Data'!$B$2:$W$18,5,FALSE)</f>
        <v>0.20696819357310905</v>
      </c>
      <c r="I12" s="164">
        <f>VLOOKUP($B12,'School Data'!$B$2:$W$18,6,FALSE)</f>
        <v>6.4298691382079567E-2</v>
      </c>
      <c r="J12" s="164">
        <f>VLOOKUP($B12,'School Data'!$B$2:$W$18,7,FALSE)</f>
        <v>0</v>
      </c>
      <c r="K12" s="4">
        <f t="shared" si="3"/>
        <v>5134230.5420158468</v>
      </c>
      <c r="L12" s="4">
        <f t="shared" si="4"/>
        <v>7975242.4613232054</v>
      </c>
      <c r="M12" s="4">
        <f t="shared" si="5"/>
        <v>0</v>
      </c>
      <c r="O12" t="str">
        <f>VLOOKUP($B12,'School Data'!$B$2:$W$18,8,FALSE)</f>
        <v>R3</v>
      </c>
      <c r="P12" s="4">
        <f t="shared" si="6"/>
        <v>10128000</v>
      </c>
      <c r="Q12" s="4">
        <f>IF(O12="R2",C12*'Model Costs and Assumptions'!$D$28,IF(O12="R1",C12*'Model Costs and Assumptions'!$D$29,IF(O12="R3",C12*'Model Costs and Assumptions'!$D$27,0)))</f>
        <v>6330000</v>
      </c>
      <c r="S12" s="4">
        <f t="shared" si="0"/>
        <v>24576478.199999999</v>
      </c>
      <c r="T12" s="4">
        <f>'School Size Adjustment'!E10</f>
        <v>4058805.3747299998</v>
      </c>
      <c r="V12" s="41">
        <f>VLOOKUP($B12,'School Data'!$B$2:$W$18,9,FALSE)</f>
        <v>2952325.0066666668</v>
      </c>
      <c r="W12" s="41">
        <f>VLOOKUP($B12,'School Data'!$B$2:$W$18,10,FALSE)</f>
        <v>473873.99333333335</v>
      </c>
      <c r="X12" s="4">
        <f>V12*'Model Costs and Assumptions'!$C$8+('Model Costs and Assumptions'!$C$8+'Model Costs and Assumptions'!$D$31)*W12</f>
        <v>18271904.829733334</v>
      </c>
      <c r="Y12" s="4">
        <f>(V12+W12)*'Model Costs and Assumptions'!$C$9</f>
        <v>9113689.3399999999</v>
      </c>
      <c r="Z12" s="4"/>
      <c r="AA12" s="12">
        <f t="shared" si="7"/>
        <v>251815634.42519554</v>
      </c>
      <c r="AB12" s="4"/>
    </row>
    <row r="13" spans="1:28">
      <c r="A13" s="15"/>
      <c r="B13" s="1" t="s">
        <v>9</v>
      </c>
      <c r="C13" s="39">
        <f>VLOOKUP($B13,'School Data'!$B$2:$W$18,4,FALSE)</f>
        <v>31498</v>
      </c>
      <c r="D13" s="3"/>
      <c r="E13" s="4">
        <f t="shared" si="1"/>
        <v>104975904.44000001</v>
      </c>
      <c r="F13" s="4"/>
      <c r="G13" s="4">
        <f t="shared" si="2"/>
        <v>308596526.9399786</v>
      </c>
      <c r="H13" s="164">
        <f>VLOOKUP($B13,'School Data'!$B$2:$W$18,5,FALSE)</f>
        <v>0.21397438294969148</v>
      </c>
      <c r="I13" s="164">
        <f>VLOOKUP($B13,'School Data'!$B$2:$W$18,6,FALSE)</f>
        <v>5.5432090926408023E-2</v>
      </c>
      <c r="J13" s="164">
        <f>VLOOKUP($B13,'School Data'!$B$2:$W$18,7,FALSE)</f>
        <v>0</v>
      </c>
      <c r="K13" s="4">
        <f t="shared" si="3"/>
        <v>13206350.286479956</v>
      </c>
      <c r="L13" s="4">
        <f t="shared" si="4"/>
        <v>17106150.740910619</v>
      </c>
      <c r="M13" s="4">
        <f t="shared" si="5"/>
        <v>0</v>
      </c>
      <c r="O13" t="str">
        <f>VLOOKUP($B13,'School Data'!$B$2:$W$18,8,FALSE)</f>
        <v>R1</v>
      </c>
      <c r="P13" s="4">
        <f t="shared" si="6"/>
        <v>25198400</v>
      </c>
      <c r="Q13" s="4">
        <f>IF(O13="R2",C13*'Model Costs and Assumptions'!$D$28,IF(O13="R1",C13*'Model Costs and Assumptions'!$D$29,IF(O13="R3",C13*'Model Costs and Assumptions'!$D$27,0)))</f>
        <v>37797600</v>
      </c>
      <c r="S13" s="4">
        <f t="shared" si="0"/>
        <v>61146122.460000001</v>
      </c>
      <c r="T13" s="4">
        <f>'School Size Adjustment'!E11</f>
        <v>0</v>
      </c>
      <c r="V13" s="41">
        <f>VLOOKUP($B13,'School Data'!$B$2:$W$18,9,FALSE)</f>
        <v>6460245.4348333338</v>
      </c>
      <c r="W13" s="41">
        <f>VLOOKUP($B13,'School Data'!$B$2:$W$18,10,FALSE)</f>
        <v>1464697.4351666667</v>
      </c>
      <c r="X13" s="4">
        <f>V13*'Model Costs and Assumptions'!$C$8+('Model Costs and Assumptions'!$C$8+'Model Costs and Assumptions'!$D$31)*W13</f>
        <v>42831341.54455667</v>
      </c>
      <c r="Y13" s="4">
        <f>(V13+W13)*'Model Costs and Assumptions'!$C$9</f>
        <v>21080348.034200005</v>
      </c>
      <c r="Z13" s="4"/>
      <c r="AA13" s="12">
        <f t="shared" si="7"/>
        <v>631938744.44612586</v>
      </c>
      <c r="AB13" s="4"/>
    </row>
    <row r="14" spans="1:28">
      <c r="A14" s="15"/>
      <c r="B14" s="1" t="s">
        <v>126</v>
      </c>
      <c r="C14" s="39">
        <f>VLOOKUP($B14,'School Data'!$B$2:$W$18,4,FALSE)</f>
        <v>1528</v>
      </c>
      <c r="D14" s="3"/>
      <c r="E14" s="4">
        <f t="shared" si="1"/>
        <v>5092487.84</v>
      </c>
      <c r="F14" s="4"/>
      <c r="G14" s="4">
        <f t="shared" si="2"/>
        <v>14970331.232595319</v>
      </c>
      <c r="H14" s="164">
        <f>VLOOKUP($B14,'School Data'!$B$2:$W$18,5,FALSE)</f>
        <v>0</v>
      </c>
      <c r="I14" s="164">
        <f>VLOOKUP($B14,'School Data'!$B$2:$W$18,6,FALSE)</f>
        <v>0</v>
      </c>
      <c r="J14" s="164">
        <f>VLOOKUP($B14,'School Data'!$B$2:$W$18,7,FALSE)</f>
        <v>0.8208596988871919</v>
      </c>
      <c r="K14" s="4">
        <f t="shared" si="3"/>
        <v>0</v>
      </c>
      <c r="L14" s="4">
        <f t="shared" si="4"/>
        <v>0</v>
      </c>
      <c r="M14" s="4">
        <f t="shared" si="5"/>
        <v>135173957.46612689</v>
      </c>
      <c r="O14" t="str">
        <f>VLOOKUP($B14,'School Data'!$B$2:$W$18,8,FALSE)</f>
        <v>R1</v>
      </c>
      <c r="P14" s="4">
        <f t="shared" si="6"/>
        <v>1222400</v>
      </c>
      <c r="Q14" s="4">
        <f>IF(O14="R2",C14*'Model Costs and Assumptions'!$D$28,IF(O14="R1",C14*'Model Costs and Assumptions'!$D$29,IF(O14="R3",C14*'Model Costs and Assumptions'!$D$27,0)))</f>
        <v>1833600</v>
      </c>
      <c r="S14" s="4">
        <f t="shared" si="0"/>
        <v>2966260.56</v>
      </c>
      <c r="T14" s="4">
        <f>'School Size Adjustment'!E12</f>
        <v>0</v>
      </c>
      <c r="V14" s="41">
        <f>VLOOKUP($B14,'School Data'!$B$2:$W$18,9,FALSE)</f>
        <v>1317677.4618666668</v>
      </c>
      <c r="W14" s="41">
        <f>VLOOKUP($B14,'School Data'!$B$2:$W$18,10,FALSE)</f>
        <v>656757.32146666665</v>
      </c>
      <c r="X14" s="4">
        <f>V14*'Model Costs and Assumptions'!$C$8+('Model Costs and Assumptions'!$C$8+'Model Costs and Assumptions'!$D$31)*W14</f>
        <v>11120512.365725335</v>
      </c>
      <c r="Y14" s="4">
        <f>(V14+W14)*'Model Costs and Assumptions'!$C$9</f>
        <v>5251996.5236666668</v>
      </c>
      <c r="Z14" s="4"/>
      <c r="AA14" s="12">
        <f t="shared" si="7"/>
        <v>177631545.98811421</v>
      </c>
      <c r="AB14" s="4"/>
    </row>
    <row r="15" spans="1:28">
      <c r="A15" s="15"/>
      <c r="B15" s="1" t="s">
        <v>10</v>
      </c>
      <c r="C15" s="39">
        <f>VLOOKUP($B15,'School Data'!$B$2:$W$18,4,FALSE)</f>
        <v>3936.6666666666661</v>
      </c>
      <c r="D15" s="3"/>
      <c r="E15" s="4">
        <f t="shared" si="1"/>
        <v>13120043.933333332</v>
      </c>
      <c r="F15" s="4"/>
      <c r="G15" s="4">
        <f t="shared" si="2"/>
        <v>38568850.754134089</v>
      </c>
      <c r="H15" s="164">
        <f>VLOOKUP($B15,'School Data'!$B$2:$W$18,5,FALSE)</f>
        <v>6.0213872712577457E-2</v>
      </c>
      <c r="I15" s="164">
        <f>VLOOKUP($B15,'School Data'!$B$2:$W$18,6,FALSE)</f>
        <v>0</v>
      </c>
      <c r="J15" s="164">
        <f>VLOOKUP($B15,'School Data'!$B$2:$W$18,7,FALSE)</f>
        <v>0</v>
      </c>
      <c r="K15" s="4">
        <f t="shared" si="3"/>
        <v>464475.97399596544</v>
      </c>
      <c r="L15" s="4">
        <f t="shared" si="4"/>
        <v>0</v>
      </c>
      <c r="M15" s="4">
        <f t="shared" si="5"/>
        <v>0</v>
      </c>
      <c r="O15" t="str">
        <f>VLOOKUP($B15,'School Data'!$B$2:$W$18,8,FALSE)</f>
        <v>Masters</v>
      </c>
      <c r="P15" s="4">
        <f t="shared" si="6"/>
        <v>3149333.333333333</v>
      </c>
      <c r="Q15" s="4">
        <f>IF(O15="R2",C15*'Model Costs and Assumptions'!$D$28,IF(O15="R1",C15*'Model Costs and Assumptions'!$D$29,IF(O15="R3",C15*'Model Costs and Assumptions'!$D$27,0)))</f>
        <v>0</v>
      </c>
      <c r="S15" s="4">
        <f t="shared" si="0"/>
        <v>7642132.8999999985</v>
      </c>
      <c r="T15" s="4">
        <f>'School Size Adjustment'!E13</f>
        <v>2762057.8833824997</v>
      </c>
      <c r="V15" s="41">
        <f>VLOOKUP($B15,'School Data'!$B$2:$W$18,9,FALSE)</f>
        <v>867451.32000000007</v>
      </c>
      <c r="W15" s="41">
        <f>VLOOKUP($B15,'School Data'!$B$2:$W$18,10,FALSE)</f>
        <v>107868.67999999998</v>
      </c>
      <c r="X15" s="4">
        <f>V15*'Model Costs and Assumptions'!$C$8+('Model Costs and Assumptions'!$C$8+'Model Costs and Assumptions'!$D$31)*W15</f>
        <v>5159756.167200001</v>
      </c>
      <c r="Y15" s="4">
        <f>(V15+W15)*'Model Costs and Assumptions'!$C$9</f>
        <v>2594351.2000000002</v>
      </c>
      <c r="Z15" s="4"/>
      <c r="AA15" s="12">
        <f t="shared" si="7"/>
        <v>73461002.145379215</v>
      </c>
      <c r="AB15" s="4"/>
    </row>
    <row r="16" spans="1:28">
      <c r="A16" s="15"/>
      <c r="B16" s="1" t="s">
        <v>11</v>
      </c>
      <c r="C16" s="39">
        <f>VLOOKUP($B16,'School Data'!$B$2:$W$18,4,FALSE)</f>
        <v>53490.999999999993</v>
      </c>
      <c r="D16" s="3"/>
      <c r="E16" s="4">
        <f t="shared" si="1"/>
        <v>178273734.97999999</v>
      </c>
      <c r="F16" s="4"/>
      <c r="G16" s="4">
        <f t="shared" si="2"/>
        <v>524069363.84997123</v>
      </c>
      <c r="H16" s="164">
        <f>VLOOKUP($B16,'School Data'!$B$2:$W$18,5,FALSE)</f>
        <v>0.22588169335942118</v>
      </c>
      <c r="I16" s="164">
        <f>VLOOKUP($B16,'School Data'!$B$2:$W$18,6,FALSE)</f>
        <v>1.1609719011148571E-2</v>
      </c>
      <c r="J16" s="164">
        <f>VLOOKUP($B16,'School Data'!$B$2:$W$18,7,FALSE)</f>
        <v>0</v>
      </c>
      <c r="K16" s="4">
        <f t="shared" si="3"/>
        <v>23675535.068845227</v>
      </c>
      <c r="L16" s="4">
        <f t="shared" si="4"/>
        <v>6084298.0566495489</v>
      </c>
      <c r="M16" s="4">
        <f t="shared" si="5"/>
        <v>0</v>
      </c>
      <c r="O16" t="str">
        <f>VLOOKUP($B16,'School Data'!$B$2:$W$18,8,FALSE)</f>
        <v>R1</v>
      </c>
      <c r="P16" s="4">
        <f t="shared" si="6"/>
        <v>42792799.999999993</v>
      </c>
      <c r="Q16" s="4">
        <f>IF(O16="R2",C16*'Model Costs and Assumptions'!$D$28,IF(O16="R1",C16*'Model Costs and Assumptions'!$D$29,IF(O16="R3",C16*'Model Costs and Assumptions'!$D$27,0)))</f>
        <v>64189199.999999993</v>
      </c>
      <c r="S16" s="4">
        <f t="shared" si="0"/>
        <v>103840473.56999998</v>
      </c>
      <c r="T16" s="4">
        <f>'School Size Adjustment'!E14</f>
        <v>0</v>
      </c>
      <c r="V16" s="41">
        <f>VLOOKUP($B16,'School Data'!$B$2:$W$18,9,FALSE)</f>
        <v>11125543.2272</v>
      </c>
      <c r="W16" s="41">
        <f>VLOOKUP($B16,'School Data'!$B$2:$W$18,10,FALSE)</f>
        <v>4165105.7727999999</v>
      </c>
      <c r="X16" s="4">
        <f>V16*'Model Costs and Assumptions'!$C$8+('Model Costs and Assumptions'!$C$8+'Model Costs and Assumptions'!$D$31)*W16</f>
        <v>84702385.770112008</v>
      </c>
      <c r="Y16" s="4">
        <f>(V16+W16)*'Model Costs and Assumptions'!$C$9</f>
        <v>40673126.340000004</v>
      </c>
      <c r="Z16" s="4"/>
      <c r="AA16" s="12">
        <f t="shared" si="7"/>
        <v>1068300917.635578</v>
      </c>
      <c r="AB16" s="4"/>
    </row>
    <row r="17" spans="1:28">
      <c r="A17" s="15"/>
      <c r="B17" s="1" t="s">
        <v>127</v>
      </c>
      <c r="C17" s="39">
        <f>VLOOKUP($B17,'School Data'!$B$2:$W$18,4,FALSE)</f>
        <v>148.66666666666666</v>
      </c>
      <c r="D17" s="3"/>
      <c r="E17" s="4">
        <f t="shared" si="1"/>
        <v>495473.29333333333</v>
      </c>
      <c r="F17" s="4"/>
      <c r="G17" s="4">
        <f t="shared" si="2"/>
        <v>1456537.4628572233</v>
      </c>
      <c r="H17" s="164">
        <f>VLOOKUP($B17,'School Data'!$B$2:$W$18,5,FALSE)</f>
        <v>0</v>
      </c>
      <c r="I17" s="164">
        <f>VLOOKUP($B17,'School Data'!$B$2:$W$18,6,FALSE)</f>
        <v>0</v>
      </c>
      <c r="J17" s="164">
        <f>VLOOKUP($B17,'School Data'!$B$2:$W$18,7,FALSE)</f>
        <v>1</v>
      </c>
      <c r="K17" s="4">
        <f t="shared" si="3"/>
        <v>0</v>
      </c>
      <c r="L17" s="4">
        <f t="shared" si="4"/>
        <v>0</v>
      </c>
      <c r="M17" s="4">
        <f t="shared" si="5"/>
        <v>16021912.091429455</v>
      </c>
      <c r="O17" t="str">
        <f>VLOOKUP($B17,'School Data'!$B$2:$W$18,8,FALSE)</f>
        <v>R1</v>
      </c>
      <c r="P17" s="4">
        <f t="shared" si="6"/>
        <v>118933.33333333333</v>
      </c>
      <c r="Q17" s="4">
        <f>IF(O17="R2",C17*'Model Costs and Assumptions'!$D$28,IF(O17="R1",C17*'Model Costs and Assumptions'!$D$29,IF(O17="R3",C17*'Model Costs and Assumptions'!$D$27,0)))</f>
        <v>178400</v>
      </c>
      <c r="S17" s="4">
        <f t="shared" si="0"/>
        <v>288602.13999999996</v>
      </c>
      <c r="T17" s="4">
        <f>'School Size Adjustment'!E15</f>
        <v>0</v>
      </c>
      <c r="V17" s="41">
        <f>VLOOKUP($B17,'School Data'!$B$2:$W$18,9,FALSE)</f>
        <v>68445</v>
      </c>
      <c r="W17" s="41">
        <f>VLOOKUP($B17,'School Data'!$B$2:$W$18,10,FALSE)</f>
        <v>15770</v>
      </c>
      <c r="X17" s="4">
        <f>V17*'Model Costs and Assumptions'!$C$8+('Model Costs and Assumptions'!$C$8+'Model Costs and Assumptions'!$D$31)*W17</f>
        <v>455466.60000000003</v>
      </c>
      <c r="Y17" s="4">
        <f>(V17+W17)*'Model Costs and Assumptions'!$C$9</f>
        <v>224011.90000000002</v>
      </c>
      <c r="Z17" s="4"/>
      <c r="AA17" s="12">
        <f t="shared" si="7"/>
        <v>19239336.820953347</v>
      </c>
      <c r="AB17" s="4"/>
    </row>
    <row r="18" spans="1:28">
      <c r="A18" s="15"/>
      <c r="B18" s="1" t="s">
        <v>12</v>
      </c>
      <c r="C18" s="39">
        <f>VLOOKUP($B18,'School Data'!$B$2:$W$18,4,FALSE)</f>
        <v>7369.6666666666661</v>
      </c>
      <c r="D18" s="3"/>
      <c r="E18" s="4">
        <f t="shared" si="1"/>
        <v>24561477.673333332</v>
      </c>
      <c r="F18" s="4"/>
      <c r="G18" s="4">
        <f t="shared" si="2"/>
        <v>72203109.341503024</v>
      </c>
      <c r="H18" s="164">
        <f>VLOOKUP($B18,'School Data'!$B$2:$W$18,5,FALSE)</f>
        <v>0.14567299240396775</v>
      </c>
      <c r="I18" s="164">
        <f>VLOOKUP($B18,'School Data'!$B$2:$W$18,6,FALSE)</f>
        <v>4.6126712793379465E-3</v>
      </c>
      <c r="J18" s="164">
        <f>VLOOKUP($B18,'School Data'!$B$2:$W$18,7,FALSE)</f>
        <v>0</v>
      </c>
      <c r="K18" s="4">
        <f t="shared" si="3"/>
        <v>2103608.5997295245</v>
      </c>
      <c r="L18" s="4">
        <f t="shared" si="4"/>
        <v>333049.20873844839</v>
      </c>
      <c r="M18" s="4">
        <f t="shared" si="5"/>
        <v>0</v>
      </c>
      <c r="O18" t="str">
        <f>VLOOKUP($B18,'School Data'!$B$2:$W$18,8,FALSE)</f>
        <v>Masters</v>
      </c>
      <c r="P18" s="4">
        <f t="shared" si="6"/>
        <v>5895733.333333333</v>
      </c>
      <c r="Q18" s="4">
        <f>IF(O18="R2",C18*'Model Costs and Assumptions'!$D$28,IF(O18="R1",C18*'Model Costs and Assumptions'!$D$29,IF(O18="R3",C18*'Model Costs and Assumptions'!$D$27,0)))</f>
        <v>0</v>
      </c>
      <c r="S18" s="4">
        <f t="shared" si="0"/>
        <v>14306512.809999999</v>
      </c>
      <c r="T18" s="4">
        <f>'School Size Adjustment'!E16</f>
        <v>4065660.5766278259</v>
      </c>
      <c r="V18" s="41">
        <f>VLOOKUP($B18,'School Data'!$B$2:$W$18,9,FALSE)</f>
        <v>2053815.1</v>
      </c>
      <c r="W18" s="41">
        <f>VLOOKUP($B18,'School Data'!$B$2:$W$18,10,FALSE)</f>
        <v>345488.65</v>
      </c>
      <c r="X18" s="4">
        <f>V18*'Model Costs and Assumptions'!$C$8+('Model Costs and Assumptions'!$C$8+'Model Costs and Assumptions'!$D$31)*W18</f>
        <v>12816487.721000001</v>
      </c>
      <c r="Y18" s="4">
        <f>(V18+W18)*'Model Costs and Assumptions'!$C$9</f>
        <v>6382147.9750000006</v>
      </c>
      <c r="Z18" s="4"/>
      <c r="AA18" s="12">
        <f t="shared" si="7"/>
        <v>142667787.2392655</v>
      </c>
      <c r="AB18" s="4"/>
    </row>
    <row r="19" spans="1:28">
      <c r="B19" s="184" t="s">
        <v>23</v>
      </c>
      <c r="C19" s="40">
        <f>SUM(C4:C18)</f>
        <v>176990.66666666666</v>
      </c>
      <c r="D19" s="25"/>
      <c r="E19" s="6">
        <f>SUM(E4:E18)</f>
        <v>589870954.05333328</v>
      </c>
      <c r="F19" s="6"/>
      <c r="G19" s="6">
        <f>SUM(G4:G18)</f>
        <v>1734037241.5431066</v>
      </c>
      <c r="H19" s="165">
        <f>VLOOKUP($B19,'School Data'!$B$2:$W$18,5,FALSE)</f>
        <v>0.18672623979577846</v>
      </c>
      <c r="I19" s="165">
        <f>VLOOKUP($B19,'School Data'!$B$2:$W$18,6,FALSE)</f>
        <v>2.2278052850343996E-2</v>
      </c>
      <c r="J19" s="165">
        <f>VLOOKUP($B19,'School Data'!$B$2:$W$18,7,FALSE)</f>
        <v>9.6389444997937758E-3</v>
      </c>
      <c r="K19" s="6">
        <f>SUM(K4:K18)</f>
        <v>65553536.889976293</v>
      </c>
      <c r="L19" s="6">
        <f>SUM(L4:L18)</f>
        <v>38630213.762751922</v>
      </c>
      <c r="M19" s="6">
        <f>SUM(M4:M18)</f>
        <v>183931266.69821534</v>
      </c>
      <c r="P19" s="6">
        <f>SUM(P4:P18)</f>
        <v>141592533.33333334</v>
      </c>
      <c r="Q19" s="6">
        <f>SUM(Q4:Q18)</f>
        <v>143469133.33333331</v>
      </c>
      <c r="S19" s="6">
        <f>SUM(S4:S18)</f>
        <v>343586671.47999996</v>
      </c>
      <c r="T19" s="6">
        <f>SUM(T4:T18)</f>
        <v>30303131.533599522</v>
      </c>
      <c r="V19" s="59">
        <f>SUM(V4:V18)</f>
        <v>39137062.107323334</v>
      </c>
      <c r="W19" s="59">
        <f>SUM(W4:W18)</f>
        <v>11081303.7061</v>
      </c>
      <c r="X19" s="6">
        <f>SUM(X4:X18)</f>
        <v>274183240.67212147</v>
      </c>
      <c r="Y19" s="6">
        <f>SUM(Y4:Y18)</f>
        <v>133580853.06370607</v>
      </c>
      <c r="Z19" s="4"/>
      <c r="AA19" s="13">
        <f>Y19+S19+Q19+P19+G19+K19+E19+M19+T19+X19+L19</f>
        <v>3678738776.3634777</v>
      </c>
      <c r="AB19" s="6"/>
    </row>
    <row r="20" spans="1:28">
      <c r="Q20" s="180"/>
      <c r="V20" s="51"/>
      <c r="W20" s="51"/>
      <c r="AA20" s="4"/>
    </row>
    <row r="21" spans="1:28">
      <c r="E21" s="16"/>
      <c r="G21" s="4"/>
      <c r="K21" s="16"/>
      <c r="L21" s="16"/>
      <c r="S21" s="6"/>
      <c r="T21" s="16"/>
      <c r="X21" s="51"/>
      <c r="Y21" s="37"/>
      <c r="AA21" s="80"/>
    </row>
    <row r="22" spans="1:28">
      <c r="G22" s="2"/>
      <c r="I22" s="171"/>
      <c r="J22" s="171"/>
      <c r="K22" s="172"/>
      <c r="L22" s="172"/>
      <c r="X22" s="51"/>
      <c r="AA22" s="16"/>
    </row>
    <row r="23" spans="1:28">
      <c r="I23" s="171"/>
      <c r="J23" s="171"/>
      <c r="K23" s="172"/>
      <c r="L23" s="172"/>
    </row>
    <row r="24" spans="1:28">
      <c r="I24" s="171"/>
      <c r="J24" s="171"/>
      <c r="K24" s="172"/>
      <c r="L24" s="172"/>
    </row>
    <row r="25" spans="1:28">
      <c r="I25" s="171"/>
      <c r="J25" s="171"/>
      <c r="K25" s="172"/>
      <c r="L25" s="172"/>
    </row>
    <row r="26" spans="1:28">
      <c r="I26" s="171"/>
      <c r="J26" s="171"/>
      <c r="K26" s="172"/>
      <c r="L26" s="172"/>
    </row>
    <row r="27" spans="1:28">
      <c r="I27" s="171"/>
      <c r="J27" s="171"/>
      <c r="K27" s="172"/>
      <c r="L27" s="172"/>
    </row>
    <row r="28" spans="1:28">
      <c r="I28" s="171"/>
      <c r="J28" s="171"/>
      <c r="K28" s="172"/>
      <c r="L28" s="172"/>
    </row>
    <row r="29" spans="1:28">
      <c r="I29" s="171"/>
      <c r="J29" s="171"/>
      <c r="K29" s="172"/>
      <c r="L29" s="172"/>
    </row>
    <row r="30" spans="1:28">
      <c r="I30" s="171"/>
      <c r="J30" s="171"/>
      <c r="K30" s="172"/>
      <c r="L30" s="172"/>
    </row>
    <row r="31" spans="1:28">
      <c r="I31" s="171"/>
      <c r="J31" s="171"/>
      <c r="K31" s="172"/>
      <c r="L31" s="172"/>
    </row>
    <row r="32" spans="1:28">
      <c r="I32" s="171"/>
      <c r="J32" s="171"/>
      <c r="K32" s="172"/>
      <c r="L32" s="172"/>
    </row>
    <row r="33" spans="9:12">
      <c r="I33" s="171"/>
      <c r="J33" s="171"/>
      <c r="K33" s="172"/>
      <c r="L33" s="172"/>
    </row>
    <row r="34" spans="9:12">
      <c r="I34" s="171"/>
      <c r="J34" s="171"/>
      <c r="K34" s="172"/>
      <c r="L34" s="172"/>
    </row>
    <row r="35" spans="9:12">
      <c r="I35" s="171"/>
      <c r="J35" s="171"/>
      <c r="K35" s="172"/>
      <c r="L35" s="172"/>
    </row>
    <row r="36" spans="9:12">
      <c r="I36" s="171"/>
      <c r="J36" s="171"/>
      <c r="K36" s="172"/>
      <c r="L36" s="172"/>
    </row>
    <row r="37" spans="9:12">
      <c r="I37" s="171"/>
      <c r="J37" s="171"/>
      <c r="K37" s="172"/>
      <c r="L37" s="172"/>
    </row>
  </sheetData>
  <mergeCells count="9">
    <mergeCell ref="G1:M1"/>
    <mergeCell ref="O2:Q2"/>
    <mergeCell ref="AA2:AA3"/>
    <mergeCell ref="C2:C3"/>
    <mergeCell ref="I2:I3"/>
    <mergeCell ref="H2:H3"/>
    <mergeCell ref="V2:Y2"/>
    <mergeCell ref="S2:T2"/>
    <mergeCell ref="J2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3925-B92E-3D48-A934-0078D0CE48F6}">
  <sheetPr codeName="Sheet5">
    <tabColor theme="9"/>
  </sheetPr>
  <dimension ref="A1:U34"/>
  <sheetViews>
    <sheetView zoomScaleNormal="100" workbookViewId="0">
      <selection activeCell="N8" sqref="N8"/>
    </sheetView>
  </sheetViews>
  <sheetFormatPr defaultColWidth="10.90625" defaultRowHeight="14.5"/>
  <cols>
    <col min="1" max="1" width="4.453125" customWidth="1"/>
    <col min="2" max="2" width="40.6328125" bestFit="1" customWidth="1"/>
    <col min="3" max="3" width="14" customWidth="1"/>
    <col min="4" max="4" width="3.81640625" customWidth="1"/>
    <col min="5" max="5" width="14.81640625" customWidth="1"/>
    <col min="6" max="6" width="3.81640625" customWidth="1"/>
    <col min="7" max="7" width="14.1796875" customWidth="1"/>
    <col min="8" max="8" width="14.6328125" bestFit="1" customWidth="1"/>
    <col min="9" max="14" width="15" customWidth="1"/>
    <col min="15" max="16" width="15.1796875" customWidth="1"/>
    <col min="17" max="18" width="16.6328125" customWidth="1"/>
    <col min="19" max="19" width="4.453125" customWidth="1"/>
    <col min="20" max="20" width="15.36328125" customWidth="1"/>
    <col min="21" max="21" width="14.81640625" customWidth="1"/>
  </cols>
  <sheetData>
    <row r="1" spans="1:21">
      <c r="G1" s="5"/>
      <c r="H1" s="10">
        <f>'Model Costs and Assumptions'!D12</f>
        <v>1000</v>
      </c>
      <c r="I1" s="10">
        <f>'Model Costs and Assumptions'!D13</f>
        <v>500</v>
      </c>
      <c r="J1" s="10">
        <f>'Model Costs and Assumptions'!D14</f>
        <v>8000</v>
      </c>
      <c r="K1" s="10">
        <f>'Model Costs and Assumptions'!D15</f>
        <v>6000</v>
      </c>
      <c r="L1" s="10">
        <f>'Model Costs and Assumptions'!D16</f>
        <v>4000</v>
      </c>
      <c r="M1" s="10">
        <f>'Model Costs and Assumptions'!D17</f>
        <v>2000</v>
      </c>
      <c r="N1" s="10">
        <f>'Model Costs and Assumptions'!D15</f>
        <v>6000</v>
      </c>
      <c r="O1" s="10">
        <f>'Model Costs and Assumptions'!D16</f>
        <v>4000</v>
      </c>
      <c r="P1" s="10">
        <f>'Model Costs and Assumptions'!C5*'Model Costs and Assumptions'!D21*'Model Costs and Assumptions'!D24</f>
        <v>877.04481840019696</v>
      </c>
      <c r="Q1" s="10">
        <f>'Model Costs and Assumptions'!C5*'Model Costs and Assumptions'!D22*'Model Costs and Assumptions'!D25</f>
        <v>6720.4935776287757</v>
      </c>
      <c r="R1" s="10">
        <f>'Model Costs and Assumptions'!C5*'Model Costs and Assumptions'!D23*'Model Costs and Assumptions'!D26</f>
        <v>19750.026113958244</v>
      </c>
      <c r="S1" s="5"/>
      <c r="T1" s="5"/>
    </row>
    <row r="2" spans="1:21" s="9" customFormat="1" ht="34" customHeight="1">
      <c r="A2" s="21"/>
      <c r="B2" s="60"/>
      <c r="C2" s="216" t="s">
        <v>44</v>
      </c>
      <c r="D2" s="14"/>
      <c r="E2" s="216" t="s">
        <v>32</v>
      </c>
      <c r="F2" s="14"/>
      <c r="G2" s="216" t="s">
        <v>86</v>
      </c>
      <c r="H2" s="216" t="s">
        <v>18</v>
      </c>
      <c r="I2" s="216"/>
      <c r="J2" s="216" t="s">
        <v>25</v>
      </c>
      <c r="K2" s="216"/>
      <c r="L2" s="216"/>
      <c r="M2" s="216"/>
      <c r="N2" s="216" t="s">
        <v>26</v>
      </c>
      <c r="O2" s="216"/>
      <c r="P2" s="36"/>
      <c r="Q2" s="36"/>
      <c r="R2" s="36"/>
      <c r="S2" s="23"/>
      <c r="T2" s="216" t="s">
        <v>22</v>
      </c>
    </row>
    <row r="3" spans="1:21" s="9" customFormat="1" ht="43.5">
      <c r="A3" s="15"/>
      <c r="B3" s="20" t="s">
        <v>13</v>
      </c>
      <c r="C3" s="217"/>
      <c r="D3" s="11"/>
      <c r="E3" s="217"/>
      <c r="F3" s="11"/>
      <c r="G3" s="217"/>
      <c r="H3" s="27" t="s">
        <v>19</v>
      </c>
      <c r="I3" s="27" t="s">
        <v>21</v>
      </c>
      <c r="J3" s="22" t="s">
        <v>24</v>
      </c>
      <c r="K3" s="22" t="s">
        <v>19</v>
      </c>
      <c r="L3" s="22" t="s">
        <v>20</v>
      </c>
      <c r="M3" s="22" t="s">
        <v>21</v>
      </c>
      <c r="N3" s="27" t="s">
        <v>19</v>
      </c>
      <c r="O3" s="27" t="s">
        <v>20</v>
      </c>
      <c r="P3" s="22" t="s">
        <v>167</v>
      </c>
      <c r="Q3" s="22" t="s">
        <v>166</v>
      </c>
      <c r="R3" s="22" t="s">
        <v>158</v>
      </c>
      <c r="S3" s="24"/>
      <c r="T3" s="217"/>
    </row>
    <row r="4" spans="1:21">
      <c r="A4" s="15"/>
      <c r="B4" s="1" t="s">
        <v>1</v>
      </c>
      <c r="C4" s="3">
        <f>VLOOKUP(B4,'School Data'!$B$2:$W$18,4,FALSE)</f>
        <v>2321.6666666666665</v>
      </c>
      <c r="D4" s="3"/>
      <c r="E4" s="4">
        <f>'Institutional Base Calc'!AA4</f>
        <v>50421115.435911335</v>
      </c>
      <c r="F4" s="4"/>
      <c r="G4" s="185">
        <f>VLOOKUP($B4,'School Data'!$B$2:$Y$18,20,FALSE)</f>
        <v>1.5</v>
      </c>
      <c r="H4" s="4">
        <f>H$1*VLOOKUP($B4,'School Data'!$B$2:$Y$18,11,FALSE)</f>
        <v>1289333.3333333333</v>
      </c>
      <c r="I4" s="4">
        <f>I$1*VLOOKUP($B4,'School Data'!$B$2:$Y$18,12,FALSE)</f>
        <v>55500</v>
      </c>
      <c r="J4" s="4">
        <f>J$1*VLOOKUP($B4,'School Data'!$B$2:$Y$18,13,FALSE)*$G4</f>
        <v>15072000</v>
      </c>
      <c r="K4" s="4">
        <f>K$1*VLOOKUP($B4,'School Data'!$B$2:$Y$18,14,FALSE)*$G4</f>
        <v>1287000</v>
      </c>
      <c r="L4" s="4">
        <f>L$1*VLOOKUP($B4,'School Data'!$B$2:$Y$18,15,FALSE)*$G4</f>
        <v>154000</v>
      </c>
      <c r="M4" s="4">
        <f>M$1*VLOOKUP($B4,'School Data'!$B$2:$Y$18,16,FALSE)*$G4</f>
        <v>3000</v>
      </c>
      <c r="N4" s="4">
        <f>N$1*VLOOKUP($B4,'School Data'!$B$2:$Y$18,17,FALSE)*$G4</f>
        <v>4646999.9999999991</v>
      </c>
      <c r="O4" s="4">
        <f>O$1*VLOOKUP($B4,'School Data'!$B$2:$Y$18,18,FALSE)*$G4</f>
        <v>292000</v>
      </c>
      <c r="P4" s="4">
        <f>P$1*$C4*VLOOKUP(B4,'School Data'!$B$2:$AB$18,21,FALSE)</f>
        <v>181496.1607797583</v>
      </c>
      <c r="Q4" s="4">
        <f>Q$1*$C4*VLOOKUP(B4,'School Data'!$B$2:$AB$18,22,FALSE)</f>
        <v>544203.71167259058</v>
      </c>
      <c r="R4" s="4">
        <f>R$1*$C4*VLOOKUP(B4,'School Data'!$B$2:$AB$18,23,FALSE)</f>
        <v>0</v>
      </c>
      <c r="S4" s="3"/>
      <c r="T4" s="12">
        <f t="shared" ref="T4:T19" si="0">SUM(H4:R4)</f>
        <v>23525533.205785684</v>
      </c>
      <c r="U4" s="2"/>
    </row>
    <row r="5" spans="1:21">
      <c r="A5" s="15"/>
      <c r="B5" s="1" t="s">
        <v>2</v>
      </c>
      <c r="C5" s="3">
        <f>VLOOKUP(B5,'School Data'!$B$2:$W$18,4,FALSE)</f>
        <v>6339.3333333333321</v>
      </c>
      <c r="D5" s="3"/>
      <c r="E5" s="4">
        <f>'Institutional Base Calc'!AA5</f>
        <v>119910142.21412911</v>
      </c>
      <c r="F5" s="4"/>
      <c r="G5" s="185">
        <f>VLOOKUP($B5,'School Data'!$B$2:$Y$18,20,FALSE)</f>
        <v>1.3</v>
      </c>
      <c r="H5" s="4">
        <f>H$1*VLOOKUP($B5,'School Data'!$B$2:$Y$18,11,FALSE)</f>
        <v>3571000</v>
      </c>
      <c r="I5" s="4">
        <f>I$1*VLOOKUP($B5,'School Data'!$B$2:$Y$18,12,FALSE)</f>
        <v>89166.666666666672</v>
      </c>
      <c r="J5" s="4">
        <f>J$1*VLOOKUP($B5,'School Data'!$B$2:$Y$18,13,FALSE)*$G5</f>
        <v>21507200</v>
      </c>
      <c r="K5" s="4">
        <f>K$1*VLOOKUP($B5,'School Data'!$B$2:$Y$18,14,FALSE)*$G5</f>
        <v>8970000</v>
      </c>
      <c r="L5" s="4">
        <f>L$1*VLOOKUP($B5,'School Data'!$B$2:$Y$18,15,FALSE)*$G5</f>
        <v>4004000</v>
      </c>
      <c r="M5" s="4">
        <f>M$1*VLOOKUP($B5,'School Data'!$B$2:$Y$18,16,FALSE)*$G5</f>
        <v>959400</v>
      </c>
      <c r="N5" s="4">
        <f>N$1*VLOOKUP($B5,'School Data'!$B$2:$Y$18,17,FALSE)*$G5</f>
        <v>772200</v>
      </c>
      <c r="O5" s="4">
        <f>O$1*VLOOKUP($B5,'School Data'!$B$2:$Y$18,18,FALSE)*$G5</f>
        <v>487066.66666666663</v>
      </c>
      <c r="P5" s="4">
        <f>P$1*$C5*VLOOKUP(B5,'School Data'!$B$2:$AB$18,21,FALSE)</f>
        <v>117511.64772601904</v>
      </c>
      <c r="Q5" s="4">
        <f>Q$1*$C5*VLOOKUP(B5,'School Data'!$B$2:$AB$18,22,FALSE)</f>
        <v>20159.360703366568</v>
      </c>
      <c r="R5" s="4">
        <f>R$1*$C5*VLOOKUP(B5,'School Data'!$B$2:$AB$18,23,FALSE)</f>
        <v>0</v>
      </c>
      <c r="S5" s="3"/>
      <c r="T5" s="12">
        <f t="shared" si="0"/>
        <v>40497704.341762722</v>
      </c>
      <c r="U5" s="2"/>
    </row>
    <row r="6" spans="1:21">
      <c r="A6" s="15"/>
      <c r="B6" s="1" t="s">
        <v>3</v>
      </c>
      <c r="C6" s="3">
        <f>VLOOKUP(B6,'School Data'!$B$2:$W$18,4,FALSE)</f>
        <v>4411.6666666666661</v>
      </c>
      <c r="D6" s="3"/>
      <c r="E6" s="4">
        <f>'Institutional Base Calc'!AA6</f>
        <v>80697118.443290442</v>
      </c>
      <c r="F6" s="4"/>
      <c r="G6" s="185">
        <f>VLOOKUP($B6,'School Data'!$B$2:$Y$18,20,FALSE)</f>
        <v>1.3</v>
      </c>
      <c r="H6" s="4">
        <f>H$1*VLOOKUP($B6,'School Data'!$B$2:$Y$18,11,FALSE)</f>
        <v>2256666.6666666665</v>
      </c>
      <c r="I6" s="4">
        <f>I$1*VLOOKUP($B6,'School Data'!$B$2:$Y$18,12,FALSE)</f>
        <v>78166.666666666672</v>
      </c>
      <c r="J6" s="4">
        <f>J$1*VLOOKUP($B6,'School Data'!$B$2:$Y$18,13,FALSE)*$G6</f>
        <v>16227466.666666666</v>
      </c>
      <c r="K6" s="4">
        <f>K$1*VLOOKUP($B6,'School Data'!$B$2:$Y$18,14,FALSE)*$G6</f>
        <v>3364400</v>
      </c>
      <c r="L6" s="4">
        <f>L$1*VLOOKUP($B6,'School Data'!$B$2:$Y$18,15,FALSE)*$G6</f>
        <v>2502933.3333333335</v>
      </c>
      <c r="M6" s="4">
        <f>M$1*VLOOKUP($B6,'School Data'!$B$2:$Y$18,16,FALSE)*$G6</f>
        <v>633533.33333333337</v>
      </c>
      <c r="N6" s="4">
        <f>N$1*VLOOKUP($B6,'School Data'!$B$2:$Y$18,17,FALSE)*$G6</f>
        <v>4084600</v>
      </c>
      <c r="O6" s="4">
        <f>O$1*VLOOKUP($B6,'School Data'!$B$2:$Y$18,18,FALSE)*$G6</f>
        <v>993200</v>
      </c>
      <c r="P6" s="4">
        <f>P$1*$C6*VLOOKUP(B6,'School Data'!$B$2:$AB$18,21,FALSE)</f>
        <v>65748.554706177427</v>
      </c>
      <c r="Q6" s="4">
        <f>Q$1*$C6*VLOOKUP(B6,'School Data'!$B$2:$AB$18,22,FALSE)</f>
        <v>268697.93066963775</v>
      </c>
      <c r="R6" s="4">
        <f>R$1*$C6*VLOOKUP(B6,'School Data'!$B$2:$AB$18,23,FALSE)</f>
        <v>0</v>
      </c>
      <c r="S6" s="3"/>
      <c r="T6" s="12">
        <f t="shared" si="0"/>
        <v>30475413.152042482</v>
      </c>
      <c r="U6" s="2"/>
    </row>
    <row r="7" spans="1:21">
      <c r="A7" s="15"/>
      <c r="B7" s="1" t="s">
        <v>4</v>
      </c>
      <c r="C7" s="3">
        <f>VLOOKUP(B7,'School Data'!$B$2:$W$18,4,FALSE)</f>
        <v>20425.333333333332</v>
      </c>
      <c r="D7" s="3"/>
      <c r="E7" s="4">
        <f>'Institutional Base Calc'!AA7</f>
        <v>375207626.98001176</v>
      </c>
      <c r="F7" s="4"/>
      <c r="G7" s="185">
        <f>VLOOKUP($B7,'School Data'!$B$2:$Y$18,20,FALSE)</f>
        <v>1</v>
      </c>
      <c r="H7" s="4">
        <f>H$1*VLOOKUP($B7,'School Data'!$B$2:$Y$18,11,FALSE)</f>
        <v>8471333.333333334</v>
      </c>
      <c r="I7" s="4">
        <f>I$1*VLOOKUP($B7,'School Data'!$B$2:$Y$18,12,FALSE)</f>
        <v>203000</v>
      </c>
      <c r="J7" s="4">
        <f>J$1*VLOOKUP($B7,'School Data'!$B$2:$Y$18,13,FALSE)*$G7</f>
        <v>17573333.333333332</v>
      </c>
      <c r="K7" s="4">
        <f>K$1*VLOOKUP($B7,'School Data'!$B$2:$Y$18,14,FALSE)*$G7</f>
        <v>16672000</v>
      </c>
      <c r="L7" s="4">
        <f>L$1*VLOOKUP($B7,'School Data'!$B$2:$Y$18,15,FALSE)*$G7</f>
        <v>18784000</v>
      </c>
      <c r="M7" s="4">
        <f>M$1*VLOOKUP($B7,'School Data'!$B$2:$Y$18,16,FALSE)*$G7</f>
        <v>14440000</v>
      </c>
      <c r="N7" s="4">
        <f>N$1*VLOOKUP($B7,'School Data'!$B$2:$Y$18,17,FALSE)*$G7</f>
        <v>1136000</v>
      </c>
      <c r="O7" s="4">
        <f>O$1*VLOOKUP($B7,'School Data'!$B$2:$Y$18,18,FALSE)*$G7</f>
        <v>968000</v>
      </c>
      <c r="P7" s="4">
        <f>P$1*$C7*VLOOKUP(B7,'School Data'!$B$2:$AB$18,21,FALSE)</f>
        <v>362195.86642813258</v>
      </c>
      <c r="Q7" s="4">
        <f>Q$1*$C7*VLOOKUP(B7,'School Data'!$B$2:$AB$18,22,FALSE)</f>
        <v>174721.42748094487</v>
      </c>
      <c r="R7" s="4">
        <f>R$1*$C7*VLOOKUP(B7,'School Data'!$B$2:$AB$18,23,FALSE)</f>
        <v>0</v>
      </c>
      <c r="S7" s="3"/>
      <c r="T7" s="12">
        <f t="shared" si="0"/>
        <v>78784583.960575745</v>
      </c>
      <c r="U7" s="2"/>
    </row>
    <row r="8" spans="1:21">
      <c r="A8" s="15"/>
      <c r="B8" s="1" t="s">
        <v>5</v>
      </c>
      <c r="C8" s="3">
        <f>VLOOKUP(B8,'School Data'!$B$2:$W$18,4,FALSE)</f>
        <v>5942.6666666666661</v>
      </c>
      <c r="D8" s="3"/>
      <c r="E8" s="4">
        <f>'Institutional Base Calc'!AA8</f>
        <v>110499853.82188675</v>
      </c>
      <c r="F8" s="4"/>
      <c r="G8" s="185">
        <f>VLOOKUP($B8,'School Data'!$B$2:$Y$18,20,FALSE)</f>
        <v>1.5</v>
      </c>
      <c r="H8" s="4">
        <f>H$1*VLOOKUP($B8,'School Data'!$B$2:$Y$18,11,FALSE)</f>
        <v>4092333.3333333335</v>
      </c>
      <c r="I8" s="4">
        <f>I$1*VLOOKUP($B8,'School Data'!$B$2:$Y$18,12,FALSE)</f>
        <v>19166.666666666668</v>
      </c>
      <c r="J8" s="4">
        <f>J$1*VLOOKUP($B8,'School Data'!$B$2:$Y$18,13,FALSE)*$G8</f>
        <v>33411999.999999996</v>
      </c>
      <c r="K8" s="4">
        <f>K$1*VLOOKUP($B8,'School Data'!$B$2:$Y$18,14,FALSE)*$G8</f>
        <v>6801000</v>
      </c>
      <c r="L8" s="4">
        <f>L$1*VLOOKUP($B8,'School Data'!$B$2:$Y$18,15,FALSE)*$G8</f>
        <v>4478000</v>
      </c>
      <c r="M8" s="4">
        <f>M$1*VLOOKUP($B8,'School Data'!$B$2:$Y$18,16,FALSE)*$G8</f>
        <v>355000</v>
      </c>
      <c r="N8" s="4">
        <f>N$1*VLOOKUP($B8,'School Data'!$B$2:$Y$18,17,FALSE)*$G8</f>
        <v>1023000</v>
      </c>
      <c r="O8" s="4">
        <f>O$1*VLOOKUP($B8,'School Data'!$B$2:$Y$18,18,FALSE)*$G8</f>
        <v>2508000</v>
      </c>
      <c r="P8" s="4">
        <f>P$1*$C8*VLOOKUP(B8,'School Data'!$B$2:$AB$18,21,FALSE)</f>
        <v>77184.27340408403</v>
      </c>
      <c r="Q8" s="4">
        <f>Q$1*$C8*VLOOKUP(B8,'School Data'!$B$2:$AB$18,22,FALSE)</f>
        <v>0</v>
      </c>
      <c r="R8" s="4">
        <f>R$1*$C8*VLOOKUP(B8,'School Data'!$B$2:$AB$18,23,FALSE)</f>
        <v>0</v>
      </c>
      <c r="S8" s="3"/>
      <c r="T8" s="12">
        <f t="shared" si="0"/>
        <v>52765684.273404084</v>
      </c>
      <c r="U8" s="2"/>
    </row>
    <row r="9" spans="1:21">
      <c r="A9" s="15"/>
      <c r="B9" s="1" t="s">
        <v>6</v>
      </c>
      <c r="C9" s="3">
        <f>VLOOKUP(B9,'School Data'!$B$2:$W$18,4,FALSE)</f>
        <v>15855.666666666666</v>
      </c>
      <c r="D9" s="3"/>
      <c r="E9" s="4">
        <f>'Institutional Base Calc'!AA9</f>
        <v>308989691.19339538</v>
      </c>
      <c r="F9" s="4"/>
      <c r="G9" s="185">
        <f>VLOOKUP($B9,'School Data'!$B$2:$Y$18,20,FALSE)</f>
        <v>1.1000000000000001</v>
      </c>
      <c r="H9" s="4">
        <f>H$1*VLOOKUP($B9,'School Data'!$B$2:$Y$18,11,FALSE)</f>
        <v>7827000</v>
      </c>
      <c r="I9" s="4">
        <f>I$1*VLOOKUP($B9,'School Data'!$B$2:$Y$18,12,FALSE)</f>
        <v>256000</v>
      </c>
      <c r="J9" s="4">
        <f>J$1*VLOOKUP($B9,'School Data'!$B$2:$Y$18,13,FALSE)*$G9</f>
        <v>29984533.333333332</v>
      </c>
      <c r="K9" s="4">
        <f>K$1*VLOOKUP($B9,'School Data'!$B$2:$Y$18,14,FALSE)*$G9</f>
        <v>20620600</v>
      </c>
      <c r="L9" s="4">
        <f>L$1*VLOOKUP($B9,'School Data'!$B$2:$Y$18,15,FALSE)*$G9</f>
        <v>11391600</v>
      </c>
      <c r="M9" s="4">
        <f>M$1*VLOOKUP($B9,'School Data'!$B$2:$Y$18,16,FALSE)*$G9</f>
        <v>4246733.333333334</v>
      </c>
      <c r="N9" s="4">
        <f>N$1*VLOOKUP($B9,'School Data'!$B$2:$Y$18,17,FALSE)*$G9</f>
        <v>2178000</v>
      </c>
      <c r="O9" s="4">
        <f>O$1*VLOOKUP($B9,'School Data'!$B$2:$Y$18,18,FALSE)*$G9</f>
        <v>2264533.3333333335</v>
      </c>
      <c r="P9" s="4">
        <f>P$1*$C9*VLOOKUP(B9,'School Data'!$B$2:$AB$18,21,FALSE)</f>
        <v>743765.27832570509</v>
      </c>
      <c r="Q9" s="4">
        <f>Q$1*$C9*VLOOKUP(B9,'School Data'!$B$2:$AB$18,22,FALSE)</f>
        <v>282272.59868173779</v>
      </c>
      <c r="R9" s="4">
        <f>R$1*$C9*VLOOKUP(B9,'School Data'!$B$2:$AB$18,23,FALSE)</f>
        <v>0</v>
      </c>
      <c r="S9" s="3"/>
      <c r="T9" s="12">
        <f>SUM(H9:R9)</f>
        <v>79795037.877007425</v>
      </c>
      <c r="U9" s="2"/>
    </row>
    <row r="10" spans="1:21">
      <c r="A10" s="15"/>
      <c r="B10" s="1" t="s">
        <v>7</v>
      </c>
      <c r="C10" s="3">
        <f>VLOOKUP(B10,'School Data'!$B$2:$W$18,4,FALSE)</f>
        <v>10656.666666666666</v>
      </c>
      <c r="D10" s="3"/>
      <c r="E10" s="4">
        <f>'Institutional Base Calc'!AA10</f>
        <v>221177514.68570578</v>
      </c>
      <c r="F10" s="4"/>
      <c r="G10" s="185">
        <f>VLOOKUP($B10,'School Data'!$B$2:$Y$18,20,FALSE)</f>
        <v>1</v>
      </c>
      <c r="H10" s="4">
        <f>H$1*VLOOKUP($B10,'School Data'!$B$2:$Y$18,11,FALSE)</f>
        <v>5233333.333333333</v>
      </c>
      <c r="I10" s="4">
        <f>I$1*VLOOKUP($B10,'School Data'!$B$2:$Y$18,12,FALSE)</f>
        <v>129333.33333333334</v>
      </c>
      <c r="J10" s="4">
        <f>J$1*VLOOKUP($B10,'School Data'!$B$2:$Y$18,13,FALSE)*$G10</f>
        <v>16144000</v>
      </c>
      <c r="K10" s="4">
        <f>K$1*VLOOKUP($B10,'School Data'!$B$2:$Y$18,14,FALSE)*$G10</f>
        <v>9144000</v>
      </c>
      <c r="L10" s="4">
        <f>L$1*VLOOKUP($B10,'School Data'!$B$2:$Y$18,15,FALSE)*$G10</f>
        <v>8697333.3333333321</v>
      </c>
      <c r="M10" s="4">
        <f>M$1*VLOOKUP($B10,'School Data'!$B$2:$Y$18,16,FALSE)*$G10</f>
        <v>2947333.333333333</v>
      </c>
      <c r="N10" s="4">
        <f>N$1*VLOOKUP($B10,'School Data'!$B$2:$Y$18,17,FALSE)*$G10</f>
        <v>1674000</v>
      </c>
      <c r="O10" s="4">
        <f>O$1*VLOOKUP($B10,'School Data'!$B$2:$Y$18,18,FALSE)*$G10</f>
        <v>746666.66666666663</v>
      </c>
      <c r="P10" s="4">
        <f>P$1*$C10*VLOOKUP(B10,'School Data'!$B$2:$AB$18,21,FALSE)</f>
        <v>194703.94968484365</v>
      </c>
      <c r="Q10" s="4">
        <f>Q$1*$C10*VLOOKUP(B10,'School Data'!$B$2:$AB$18,22,FALSE)</f>
        <v>47043.455043401409</v>
      </c>
      <c r="R10" s="4">
        <f>R$1*$C10*VLOOKUP(B10,'School Data'!$B$2:$AB$18,23,FALSE)</f>
        <v>0</v>
      </c>
      <c r="S10" s="3"/>
      <c r="T10" s="12">
        <f t="shared" si="0"/>
        <v>44957747.404728241</v>
      </c>
      <c r="U10" s="2"/>
    </row>
    <row r="11" spans="1:21">
      <c r="A11" s="15"/>
      <c r="B11" s="1" t="s">
        <v>121</v>
      </c>
      <c r="C11" s="3">
        <f>VLOOKUP(B11,'School Data'!$B$2:$W$18,4,FALSE)</f>
        <v>405.66666666666663</v>
      </c>
      <c r="D11" s="3"/>
      <c r="E11" s="4">
        <f>'Institutional Base Calc'!AA11</f>
        <v>46780744.888535038</v>
      </c>
      <c r="F11" s="4"/>
      <c r="G11" s="185">
        <f>VLOOKUP($B11,'School Data'!$B$2:$Y$18,20,FALSE)</f>
        <v>1</v>
      </c>
      <c r="H11" s="4">
        <f>H$1*VLOOKUP($B11,'School Data'!$B$2:$Y$18,11,FALSE)</f>
        <v>0</v>
      </c>
      <c r="I11" s="4">
        <f>I$1*VLOOKUP($B11,'School Data'!$B$2:$Y$18,12,FALSE)</f>
        <v>0</v>
      </c>
      <c r="J11" s="4">
        <f>J$1*VLOOKUP($B11,'School Data'!$B$2:$Y$18,13,FALSE)*$G11</f>
        <v>0</v>
      </c>
      <c r="K11" s="4">
        <f>K$1*VLOOKUP($B11,'School Data'!$B$2:$Y$18,14,FALSE)*$G11</f>
        <v>0</v>
      </c>
      <c r="L11" s="4">
        <f>L$1*VLOOKUP($B11,'School Data'!$B$2:$Y$18,15,FALSE)*$G11</f>
        <v>0</v>
      </c>
      <c r="M11" s="4">
        <f>M$1*VLOOKUP($B11,'School Data'!$B$2:$Y$18,16,FALSE)*$G11</f>
        <v>0</v>
      </c>
      <c r="N11" s="4">
        <f>N$1*VLOOKUP($B11,'School Data'!$B$2:$Y$18,17,FALSE)*$G11</f>
        <v>252000</v>
      </c>
      <c r="O11" s="4">
        <f>O$1*VLOOKUP($B11,'School Data'!$B$2:$Y$18,18,FALSE)*$G11</f>
        <v>102666.66666666666</v>
      </c>
      <c r="P11" s="4">
        <f>P$1*$C11*VLOOKUP(B11,'School Data'!$B$2:$AB$18,21,FALSE)</f>
        <v>0</v>
      </c>
      <c r="Q11" s="4">
        <f>Q$1*$C11*VLOOKUP(B11,'School Data'!$B$2:$AB$18,22,FALSE)</f>
        <v>0</v>
      </c>
      <c r="R11" s="4">
        <f>R$1*$C11*VLOOKUP(B11,'School Data'!$B$2:$AB$18,23,FALSE)</f>
        <v>1164294.8481613658</v>
      </c>
      <c r="S11" s="3"/>
      <c r="T11" s="12">
        <f t="shared" si="0"/>
        <v>1518961.5148280323</v>
      </c>
      <c r="U11" s="2"/>
    </row>
    <row r="12" spans="1:21">
      <c r="A12" s="15"/>
      <c r="B12" s="1" t="s">
        <v>8</v>
      </c>
      <c r="C12" s="3">
        <f>VLOOKUP(B12,'School Data'!$B$2:$W$18,4,FALSE)</f>
        <v>12660</v>
      </c>
      <c r="D12" s="3"/>
      <c r="E12" s="4">
        <f>'Institutional Base Calc'!AA12</f>
        <v>251815634.42519554</v>
      </c>
      <c r="F12" s="4"/>
      <c r="G12" s="185">
        <f>VLOOKUP($B12,'School Data'!$B$2:$Y$18,20,FALSE)</f>
        <v>1.1000000000000001</v>
      </c>
      <c r="H12" s="4">
        <f>H$1*VLOOKUP($B12,'School Data'!$B$2:$Y$18,11,FALSE)</f>
        <v>5542666.666666667</v>
      </c>
      <c r="I12" s="4">
        <f>I$1*VLOOKUP($B12,'School Data'!$B$2:$Y$18,12,FALSE)</f>
        <v>177666.66666666666</v>
      </c>
      <c r="J12" s="4">
        <f>J$1*VLOOKUP($B12,'School Data'!$B$2:$Y$18,13,FALSE)*$G12</f>
        <v>26235733.333333332</v>
      </c>
      <c r="K12" s="4">
        <f>K$1*VLOOKUP($B12,'School Data'!$B$2:$Y$18,14,FALSE)*$G12</f>
        <v>14198800</v>
      </c>
      <c r="L12" s="4">
        <f>L$1*VLOOKUP($B12,'School Data'!$B$2:$Y$18,15,FALSE)*$G12</f>
        <v>8555066.6666666679</v>
      </c>
      <c r="M12" s="4">
        <f>M$1*VLOOKUP($B12,'School Data'!$B$2:$Y$18,16,FALSE)*$G12</f>
        <v>3894733.3333333335</v>
      </c>
      <c r="N12" s="4">
        <f>N$1*VLOOKUP($B12,'School Data'!$B$2:$Y$18,17,FALSE)*$G12</f>
        <v>1896400.0000000002</v>
      </c>
      <c r="O12" s="4">
        <f>O$1*VLOOKUP($B12,'School Data'!$B$2:$Y$18,18,FALSE)*$G12</f>
        <v>775866.66666666663</v>
      </c>
      <c r="P12" s="4">
        <f>P$1*$C12*VLOOKUP(B12,'School Data'!$B$2:$AB$18,21,FALSE)</f>
        <v>301711.36148336669</v>
      </c>
      <c r="Q12" s="4">
        <f>Q$1*$C12*VLOOKUP(B12,'School Data'!$B$2:$AB$18,22,FALSE)</f>
        <v>745994.42888690706</v>
      </c>
      <c r="R12" s="4">
        <f>R$1*$C12*VLOOKUP(B12,'School Data'!$B$2:$AB$18,23,FALSE)</f>
        <v>0</v>
      </c>
      <c r="S12" s="3"/>
      <c r="T12" s="12">
        <f t="shared" si="0"/>
        <v>62324639.123703599</v>
      </c>
      <c r="U12" s="2"/>
    </row>
    <row r="13" spans="1:21">
      <c r="A13" s="15"/>
      <c r="B13" s="1" t="s">
        <v>9</v>
      </c>
      <c r="C13" s="3">
        <f>VLOOKUP(B13,'School Data'!$B$2:$W$18,4,FALSE)</f>
        <v>31498</v>
      </c>
      <c r="D13" s="3"/>
      <c r="E13" s="4">
        <f>'Institutional Base Calc'!AA13</f>
        <v>631938744.44612586</v>
      </c>
      <c r="F13" s="4"/>
      <c r="G13" s="185">
        <f>VLOOKUP($B13,'School Data'!$B$2:$Y$18,20,FALSE)</f>
        <v>1.3</v>
      </c>
      <c r="H13" s="4">
        <f>H$1*VLOOKUP($B13,'School Data'!$B$2:$Y$18,11,FALSE)</f>
        <v>14901000</v>
      </c>
      <c r="I13" s="4">
        <f>I$1*VLOOKUP($B13,'School Data'!$B$2:$Y$18,12,FALSE)</f>
        <v>226000</v>
      </c>
      <c r="J13" s="4">
        <f>J$1*VLOOKUP($B13,'School Data'!$B$2:$Y$18,13,FALSE)*$G13</f>
        <v>104734933.33333333</v>
      </c>
      <c r="K13" s="4">
        <f>K$1*VLOOKUP($B13,'School Data'!$B$2:$Y$18,14,FALSE)*$G13</f>
        <v>30934800</v>
      </c>
      <c r="L13" s="4">
        <f>L$1*VLOOKUP($B13,'School Data'!$B$2:$Y$18,15,FALSE)*$G13</f>
        <v>17754533.333333332</v>
      </c>
      <c r="M13" s="4">
        <f>M$1*VLOOKUP($B13,'School Data'!$B$2:$Y$18,16,FALSE)*$G13</f>
        <v>4107133.333333333</v>
      </c>
      <c r="N13" s="4">
        <f>N$1*VLOOKUP($B13,'School Data'!$B$2:$Y$18,17,FALSE)*$G13</f>
        <v>6895200</v>
      </c>
      <c r="O13" s="4">
        <f>O$1*VLOOKUP($B13,'School Data'!$B$2:$Y$18,18,FALSE)*$G13</f>
        <v>7756666.666666666</v>
      </c>
      <c r="P13" s="4">
        <f>P$1*$C13*VLOOKUP(B13,'School Data'!$B$2:$AB$18,21,FALSE)</f>
        <v>1374329.2304331088</v>
      </c>
      <c r="Q13" s="4">
        <f>Q$1*$C13*VLOOKUP(B13,'School Data'!$B$2:$AB$18,22,FALSE)</f>
        <v>2634433.48243048</v>
      </c>
      <c r="R13" s="4">
        <f>R$1*$C13*VLOOKUP(B13,'School Data'!$B$2:$AB$18,23,FALSE)</f>
        <v>0</v>
      </c>
      <c r="S13" s="3"/>
      <c r="T13" s="12">
        <f t="shared" si="0"/>
        <v>191319029.37953025</v>
      </c>
      <c r="U13" s="2"/>
    </row>
    <row r="14" spans="1:21">
      <c r="A14" s="15"/>
      <c r="B14" s="1" t="s">
        <v>126</v>
      </c>
      <c r="C14" s="3">
        <f>VLOOKUP(B14,'School Data'!$B$2:$W$18,4,FALSE)</f>
        <v>1528</v>
      </c>
      <c r="D14" s="3"/>
      <c r="E14" s="4">
        <f>'Institutional Base Calc'!AA14</f>
        <v>177631545.98811421</v>
      </c>
      <c r="F14" s="4"/>
      <c r="G14" s="185">
        <f>VLOOKUP($B14,'School Data'!$B$2:$Y$18,20,FALSE)</f>
        <v>1</v>
      </c>
      <c r="H14" s="4">
        <f>H$1*VLOOKUP($B14,'School Data'!$B$2:$Y$18,11,FALSE)</f>
        <v>0</v>
      </c>
      <c r="I14" s="4">
        <f>I$1*VLOOKUP($B14,'School Data'!$B$2:$Y$18,12,FALSE)</f>
        <v>0</v>
      </c>
      <c r="J14" s="4">
        <f>J$1*VLOOKUP($B14,'School Data'!$B$2:$Y$18,13,FALSE)*$G14</f>
        <v>0</v>
      </c>
      <c r="K14" s="4">
        <f>K$1*VLOOKUP($B14,'School Data'!$B$2:$Y$18,14,FALSE)*$G14</f>
        <v>0</v>
      </c>
      <c r="L14" s="4">
        <f>L$1*VLOOKUP($B14,'School Data'!$B$2:$Y$18,15,FALSE)*$G14</f>
        <v>0</v>
      </c>
      <c r="M14" s="4">
        <f>M$1*VLOOKUP($B14,'School Data'!$B$2:$Y$18,16,FALSE)*$G14</f>
        <v>0</v>
      </c>
      <c r="N14" s="4">
        <f>N$1*VLOOKUP($B14,'School Data'!$B$2:$Y$18,17,FALSE)*$G14</f>
        <v>840000</v>
      </c>
      <c r="O14" s="4">
        <f>O$1*VLOOKUP($B14,'School Data'!$B$2:$Y$18,18,FALSE)*$G14</f>
        <v>1090666.6666666665</v>
      </c>
      <c r="P14" s="4">
        <f>P$1*$C14*VLOOKUP(B14,'School Data'!$B$2:$AB$18,21,FALSE)</f>
        <v>0</v>
      </c>
      <c r="Q14" s="4">
        <f>Q$1*$C14*VLOOKUP(B14,'School Data'!$B$2:$AB$18,22,FALSE)</f>
        <v>0</v>
      </c>
      <c r="R14" s="4">
        <f>R$1*$C14*VLOOKUP(B14,'School Data'!$B$2:$AB$18,23,FALSE)</f>
        <v>7269595.4728233758</v>
      </c>
      <c r="S14" s="3"/>
      <c r="T14" s="12">
        <f t="shared" si="0"/>
        <v>9200262.1394900419</v>
      </c>
      <c r="U14" s="2"/>
    </row>
    <row r="15" spans="1:21">
      <c r="A15" s="15"/>
      <c r="B15" s="1" t="s">
        <v>10</v>
      </c>
      <c r="C15" s="3">
        <f>VLOOKUP(B15,'School Data'!$B$2:$W$18,4,FALSE)</f>
        <v>3936.6666666666661</v>
      </c>
      <c r="D15" s="3"/>
      <c r="E15" s="4">
        <f>'Institutional Base Calc'!AA15</f>
        <v>73461002.145379215</v>
      </c>
      <c r="F15" s="4"/>
      <c r="G15" s="185">
        <f>VLOOKUP($B15,'School Data'!$B$2:$Y$18,20,FALSE)</f>
        <v>1</v>
      </c>
      <c r="H15" s="4">
        <f>H$1*VLOOKUP($B15,'School Data'!$B$2:$Y$18,11,FALSE)</f>
        <v>1719000</v>
      </c>
      <c r="I15" s="4">
        <f>I$1*VLOOKUP($B15,'School Data'!$B$2:$Y$18,12,FALSE)</f>
        <v>31833.333333333332</v>
      </c>
      <c r="J15" s="4">
        <f>J$1*VLOOKUP($B15,'School Data'!$B$2:$Y$18,13,FALSE)*$G15</f>
        <v>4861333.333333333</v>
      </c>
      <c r="K15" s="4">
        <f>K$1*VLOOKUP($B15,'School Data'!$B$2:$Y$18,14,FALSE)*$G15</f>
        <v>2998000</v>
      </c>
      <c r="L15" s="4">
        <f>L$1*VLOOKUP($B15,'School Data'!$B$2:$Y$18,15,FALSE)*$G15</f>
        <v>2917333.333333333</v>
      </c>
      <c r="M15" s="4">
        <f>M$1*VLOOKUP($B15,'School Data'!$B$2:$Y$18,16,FALSE)*$G15</f>
        <v>991333.33333333326</v>
      </c>
      <c r="N15" s="4">
        <f>N$1*VLOOKUP($B15,'School Data'!$B$2:$Y$18,17,FALSE)*$G15</f>
        <v>967999.99999999988</v>
      </c>
      <c r="O15" s="4">
        <f>O$1*VLOOKUP($B15,'School Data'!$B$2:$Y$18,18,FALSE)*$G15</f>
        <v>438666.66666666663</v>
      </c>
      <c r="P15" s="4">
        <f>P$1*$C15*VLOOKUP(B15,'School Data'!$B$2:$AB$18,21,FALSE)</f>
        <v>8772.6766370003625</v>
      </c>
      <c r="Q15" s="4">
        <f>Q$1*$C15*VLOOKUP(B15,'School Data'!$B$2:$AB$18,22,FALSE)</f>
        <v>0</v>
      </c>
      <c r="R15" s="4">
        <f>R$1*$C15*VLOOKUP(B15,'School Data'!$B$2:$AB$18,23,FALSE)</f>
        <v>0</v>
      </c>
      <c r="S15" s="3"/>
      <c r="T15" s="12">
        <f t="shared" si="0"/>
        <v>14934272.676636999</v>
      </c>
      <c r="U15" s="2"/>
    </row>
    <row r="16" spans="1:21">
      <c r="A16" s="15"/>
      <c r="B16" s="1" t="s">
        <v>11</v>
      </c>
      <c r="C16" s="3">
        <f>VLOOKUP(B16,'School Data'!$B$2:$W$18,4,FALSE)</f>
        <v>53490.999999999993</v>
      </c>
      <c r="D16" s="3"/>
      <c r="E16" s="4">
        <f>'Institutional Base Calc'!AA16</f>
        <v>1068300917.635578</v>
      </c>
      <c r="F16" s="4"/>
      <c r="G16" s="185">
        <f>VLOOKUP($B16,'School Data'!$B$2:$Y$18,20,FALSE)</f>
        <v>1</v>
      </c>
      <c r="H16" s="4">
        <f>H$1*VLOOKUP($B16,'School Data'!$B$2:$Y$18,11,FALSE)</f>
        <v>12338333.333333334</v>
      </c>
      <c r="I16" s="4">
        <f>I$1*VLOOKUP($B16,'School Data'!$B$2:$Y$18,12,FALSE)</f>
        <v>274000</v>
      </c>
      <c r="J16" s="4">
        <f>J$1*VLOOKUP($B16,'School Data'!$B$2:$Y$18,13,FALSE)*$G16</f>
        <v>24296000</v>
      </c>
      <c r="K16" s="4">
        <f>K$1*VLOOKUP($B16,'School Data'!$B$2:$Y$18,14,FALSE)*$G16</f>
        <v>28838000</v>
      </c>
      <c r="L16" s="4">
        <f>L$1*VLOOKUP($B16,'School Data'!$B$2:$Y$18,15,FALSE)*$G16</f>
        <v>27369333.333333332</v>
      </c>
      <c r="M16" s="4">
        <f>M$1*VLOOKUP($B16,'School Data'!$B$2:$Y$18,16,FALSE)*$G16</f>
        <v>2594666.6666666665</v>
      </c>
      <c r="N16" s="4">
        <f>N$1*VLOOKUP($B16,'School Data'!$B$2:$Y$18,17,FALSE)*$G16</f>
        <v>5188000</v>
      </c>
      <c r="O16" s="4">
        <f>O$1*VLOOKUP($B16,'School Data'!$B$2:$Y$18,18,FALSE)*$G16</f>
        <v>6928000</v>
      </c>
      <c r="P16" s="4">
        <f>P$1*$C16*VLOOKUP(B16,'School Data'!$B$2:$AB$18,21,FALSE)</f>
        <v>1420848.0223088469</v>
      </c>
      <c r="Q16" s="4">
        <f>Q$1*$C16*VLOOKUP(B16,'School Data'!$B$2:$AB$18,22,FALSE)</f>
        <v>631742.14329861407</v>
      </c>
      <c r="R16" s="4">
        <f>R$1*$C16*VLOOKUP(B16,'School Data'!$B$2:$AB$18,23,FALSE)</f>
        <v>0</v>
      </c>
      <c r="S16" s="3"/>
      <c r="T16" s="12">
        <f t="shared" si="0"/>
        <v>109878923.4989408</v>
      </c>
      <c r="U16" s="2"/>
    </row>
    <row r="17" spans="1:21">
      <c r="A17" s="15"/>
      <c r="B17" s="1" t="s">
        <v>127</v>
      </c>
      <c r="C17" s="3">
        <f>VLOOKUP(B17,'School Data'!$B$2:$W$18,4,FALSE)</f>
        <v>148.66666666666666</v>
      </c>
      <c r="D17" s="3"/>
      <c r="E17" s="4">
        <f>'Institutional Base Calc'!AA17</f>
        <v>19239336.820953347</v>
      </c>
      <c r="F17" s="4"/>
      <c r="G17" s="185">
        <f>VLOOKUP($B17,'School Data'!$B$2:$Y$18,20,FALSE)</f>
        <v>1</v>
      </c>
      <c r="H17" s="4">
        <f>H$1*VLOOKUP($B17,'School Data'!$B$2:$Y$18,11,FALSE)</f>
        <v>0</v>
      </c>
      <c r="I17" s="4">
        <f>I$1*VLOOKUP($B17,'School Data'!$B$2:$Y$18,12,FALSE)</f>
        <v>0</v>
      </c>
      <c r="J17" s="4">
        <f>J$1*VLOOKUP($B17,'School Data'!$B$2:$Y$18,13,FALSE)*$G17</f>
        <v>0</v>
      </c>
      <c r="K17" s="4">
        <f>K$1*VLOOKUP($B17,'School Data'!$B$2:$Y$18,14,FALSE)*$G17</f>
        <v>0</v>
      </c>
      <c r="L17" s="4">
        <f>L$1*VLOOKUP($B17,'School Data'!$B$2:$Y$18,15,FALSE)*$G17</f>
        <v>0</v>
      </c>
      <c r="M17" s="4">
        <f>M$1*VLOOKUP($B17,'School Data'!$B$2:$Y$18,16,FALSE)*$G17</f>
        <v>0</v>
      </c>
      <c r="N17" s="4">
        <f>N$1*VLOOKUP($B17,'School Data'!$B$2:$Y$18,17,FALSE)*$G17</f>
        <v>42000</v>
      </c>
      <c r="O17" s="4">
        <f>O$1*VLOOKUP($B17,'School Data'!$B$2:$Y$18,18,FALSE)*$G17</f>
        <v>76000</v>
      </c>
      <c r="P17" s="4">
        <f>P$1*$C17*VLOOKUP(B17,'School Data'!$B$2:$AB$18,21,FALSE)</f>
        <v>0</v>
      </c>
      <c r="Q17" s="4">
        <f>Q$1*$C17*VLOOKUP(B17,'School Data'!$B$2:$AB$18,22,FALSE)</f>
        <v>0</v>
      </c>
      <c r="R17" s="4">
        <f>R$1*$C17*VLOOKUP(B17,'School Data'!$B$2:$AB$18,23,FALSE)</f>
        <v>515813.74508436891</v>
      </c>
      <c r="S17" s="3"/>
      <c r="T17" s="12">
        <f t="shared" si="0"/>
        <v>633813.74508436886</v>
      </c>
      <c r="U17" s="2"/>
    </row>
    <row r="18" spans="1:21">
      <c r="A18" s="15"/>
      <c r="B18" s="1" t="s">
        <v>12</v>
      </c>
      <c r="C18" s="3">
        <f>VLOOKUP(B18,'School Data'!$B$2:$W$18,4,FALSE)</f>
        <v>7369.6666666666661</v>
      </c>
      <c r="D18" s="3"/>
      <c r="E18" s="4">
        <f>'Institutional Base Calc'!AA18</f>
        <v>142667787.2392655</v>
      </c>
      <c r="F18" s="4"/>
      <c r="G18" s="185">
        <f>VLOOKUP($B18,'School Data'!$B$2:$Y$18,20,FALSE)</f>
        <v>1.3</v>
      </c>
      <c r="H18" s="4">
        <f>H$1*VLOOKUP($B18,'School Data'!$B$2:$Y$18,11,FALSE)</f>
        <v>3978333.3333333335</v>
      </c>
      <c r="I18" s="4">
        <f>I$1*VLOOKUP($B18,'School Data'!$B$2:$Y$18,12,FALSE)</f>
        <v>98666.666666666672</v>
      </c>
      <c r="J18" s="4">
        <f>J$1*VLOOKUP($B18,'School Data'!$B$2:$Y$18,13,FALSE)*$G18</f>
        <v>19978400</v>
      </c>
      <c r="K18" s="4">
        <f>K$1*VLOOKUP($B18,'School Data'!$B$2:$Y$18,14,FALSE)*$G18</f>
        <v>15145000</v>
      </c>
      <c r="L18" s="4">
        <f>L$1*VLOOKUP($B18,'School Data'!$B$2:$Y$18,15,FALSE)*$G18</f>
        <v>4078533.333333333</v>
      </c>
      <c r="M18" s="4">
        <f>M$1*VLOOKUP($B18,'School Data'!$B$2:$Y$18,16,FALSE)*$G18</f>
        <v>1089400</v>
      </c>
      <c r="N18" s="4">
        <f>N$1*VLOOKUP($B18,'School Data'!$B$2:$Y$18,17,FALSE)*$G18</f>
        <v>1055600</v>
      </c>
      <c r="O18" s="4">
        <f>O$1*VLOOKUP($B18,'School Data'!$B$2:$Y$18,18,FALSE)*$G18</f>
        <v>686400</v>
      </c>
      <c r="P18" s="4">
        <f>P$1*$C18*VLOOKUP(B18,'School Data'!$B$2:$AB$18,21,FALSE)</f>
        <v>259558.30649133751</v>
      </c>
      <c r="Q18" s="4">
        <f>Q$1*$C18*VLOOKUP(B18,'School Data'!$B$2:$AB$18,22,FALSE)</f>
        <v>20157.833741391209</v>
      </c>
      <c r="R18" s="4">
        <f>R$1*$C18*VLOOKUP(B18,'School Data'!$B$2:$AB$18,23,FALSE)</f>
        <v>0</v>
      </c>
      <c r="S18" s="3"/>
      <c r="T18" s="12">
        <f t="shared" si="0"/>
        <v>46390049.473566063</v>
      </c>
      <c r="U18" s="2"/>
    </row>
    <row r="19" spans="1:21">
      <c r="B19" s="184" t="s">
        <v>23</v>
      </c>
      <c r="C19" s="25">
        <f>SUM(C4:C18)</f>
        <v>176990.66666666666</v>
      </c>
      <c r="D19" s="25"/>
      <c r="E19" s="6">
        <f>'Institutional Base Calc'!AA19</f>
        <v>3678738776.3634777</v>
      </c>
      <c r="F19" s="6"/>
      <c r="G19" s="25"/>
      <c r="H19" s="6">
        <f>SUM(H4:H18)</f>
        <v>71220333.333333328</v>
      </c>
      <c r="I19" s="6">
        <f>SUM(I4:I18)</f>
        <v>1638500</v>
      </c>
      <c r="J19" s="6">
        <f t="shared" ref="J19:Q19" si="1">SUM(J4:J18)</f>
        <v>330026933.33333331</v>
      </c>
      <c r="K19" s="6">
        <f t="shared" si="1"/>
        <v>158973600</v>
      </c>
      <c r="L19" s="6">
        <f t="shared" si="1"/>
        <v>110686666.66666666</v>
      </c>
      <c r="M19" s="6">
        <f t="shared" si="1"/>
        <v>36262266.666666664</v>
      </c>
      <c r="N19" s="6">
        <f>SUM(N4:N18)</f>
        <v>32652000</v>
      </c>
      <c r="O19" s="6">
        <f>SUM(O4:O18)</f>
        <v>26114400</v>
      </c>
      <c r="P19" s="6">
        <f t="shared" si="1"/>
        <v>5107825.328408381</v>
      </c>
      <c r="Q19" s="6">
        <f t="shared" si="1"/>
        <v>5369426.3726090705</v>
      </c>
      <c r="R19" s="6">
        <f t="shared" ref="R19" si="2">SUM(R4:R18)</f>
        <v>8949704.0660691112</v>
      </c>
      <c r="T19" s="13">
        <f t="shared" si="0"/>
        <v>787001655.76708639</v>
      </c>
      <c r="U19" s="2"/>
    </row>
    <row r="20" spans="1:21" ht="15" customHeight="1">
      <c r="M20" s="26"/>
      <c r="N20" s="26"/>
      <c r="S20" s="4"/>
    </row>
    <row r="21" spans="1:21" ht="15" customHeight="1">
      <c r="H21" s="10"/>
      <c r="I21" s="10"/>
      <c r="J21" s="10"/>
      <c r="K21" s="10"/>
      <c r="L21" s="10"/>
      <c r="M21" s="10"/>
      <c r="N21" s="92"/>
      <c r="O21" s="10"/>
      <c r="S21" s="4"/>
    </row>
    <row r="22" spans="1:21">
      <c r="H22" s="10"/>
      <c r="I22" s="10"/>
      <c r="J22" s="10"/>
      <c r="K22" s="10"/>
      <c r="L22" s="10"/>
      <c r="M22" s="10"/>
      <c r="N22" s="92"/>
      <c r="O22" s="10"/>
      <c r="S22" s="61"/>
    </row>
    <row r="23" spans="1:21">
      <c r="H23" s="10"/>
      <c r="I23" s="10"/>
      <c r="J23" s="10"/>
      <c r="K23" s="10"/>
      <c r="L23" s="10"/>
      <c r="M23" s="10"/>
      <c r="N23" s="92"/>
      <c r="O23" s="10"/>
      <c r="S23" s="61"/>
    </row>
    <row r="24" spans="1:21">
      <c r="H24" s="10"/>
      <c r="I24" s="10"/>
      <c r="J24" s="10"/>
      <c r="K24" s="10"/>
      <c r="L24" s="10"/>
      <c r="M24" s="10"/>
      <c r="N24" s="92"/>
      <c r="O24" s="10"/>
      <c r="S24" s="61"/>
    </row>
    <row r="25" spans="1:21">
      <c r="H25" s="10"/>
      <c r="I25" s="10"/>
      <c r="J25" s="10"/>
      <c r="K25" s="10"/>
      <c r="L25" s="10"/>
      <c r="M25" s="10"/>
      <c r="N25" s="92"/>
      <c r="O25" s="10"/>
      <c r="S25" s="61"/>
    </row>
    <row r="26" spans="1:21">
      <c r="H26" s="10"/>
      <c r="I26" s="10"/>
      <c r="J26" s="10"/>
      <c r="K26" s="10"/>
      <c r="L26" s="10"/>
      <c r="M26" s="10"/>
      <c r="N26" s="92"/>
      <c r="O26" s="10"/>
      <c r="S26" s="61"/>
    </row>
    <row r="27" spans="1:21">
      <c r="H27" s="10"/>
      <c r="I27" s="10"/>
      <c r="J27" s="10"/>
      <c r="K27" s="10"/>
      <c r="L27" s="10"/>
      <c r="M27" s="10"/>
      <c r="N27" s="92"/>
      <c r="O27" s="10"/>
      <c r="S27" s="61"/>
    </row>
    <row r="28" spans="1:21">
      <c r="H28" s="10"/>
      <c r="I28" s="10"/>
      <c r="J28" s="10"/>
      <c r="K28" s="10"/>
      <c r="L28" s="10"/>
      <c r="M28" s="10"/>
      <c r="N28" s="92"/>
      <c r="O28" s="10"/>
      <c r="S28" s="61"/>
    </row>
    <row r="29" spans="1:21">
      <c r="H29" s="10"/>
      <c r="I29" s="10"/>
      <c r="J29" s="10"/>
      <c r="K29" s="10"/>
      <c r="L29" s="10"/>
      <c r="M29" s="10"/>
      <c r="N29" s="92"/>
      <c r="O29" s="10"/>
      <c r="S29" s="61"/>
    </row>
    <row r="30" spans="1:21">
      <c r="H30" s="10"/>
      <c r="I30" s="10"/>
      <c r="J30" s="10"/>
      <c r="K30" s="10"/>
      <c r="L30" s="10"/>
      <c r="M30" s="10"/>
      <c r="N30" s="92"/>
      <c r="O30" s="10"/>
      <c r="S30" s="61"/>
    </row>
    <row r="31" spans="1:21">
      <c r="H31" s="10"/>
      <c r="I31" s="10"/>
      <c r="J31" s="10"/>
      <c r="K31" s="10"/>
      <c r="L31" s="10"/>
      <c r="M31" s="10"/>
      <c r="N31" s="92"/>
      <c r="O31" s="10"/>
      <c r="S31" s="61"/>
    </row>
    <row r="32" spans="1:21">
      <c r="H32" s="10"/>
      <c r="I32" s="10"/>
      <c r="J32" s="10"/>
      <c r="K32" s="10"/>
      <c r="L32" s="10"/>
      <c r="M32" s="10"/>
      <c r="N32" s="92"/>
      <c r="O32" s="10"/>
    </row>
    <row r="33" spans="10:14">
      <c r="J33" s="10"/>
      <c r="K33" s="10"/>
      <c r="L33" s="10"/>
      <c r="M33" s="10"/>
      <c r="N33" s="92"/>
    </row>
    <row r="34" spans="10:14">
      <c r="J34" s="10"/>
      <c r="K34" s="10"/>
      <c r="L34" s="10"/>
      <c r="M34" s="10"/>
    </row>
  </sheetData>
  <mergeCells count="7">
    <mergeCell ref="G2:G3"/>
    <mergeCell ref="T2:T3"/>
    <mergeCell ref="C2:C3"/>
    <mergeCell ref="E2:E3"/>
    <mergeCell ref="H2:I2"/>
    <mergeCell ref="J2:M2"/>
    <mergeCell ref="N2:O2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F4B74-05A2-B849-896F-9282DB81CFFD}">
  <sheetPr codeName="Sheet6">
    <tabColor theme="9"/>
  </sheetPr>
  <dimension ref="B1:M27"/>
  <sheetViews>
    <sheetView zoomScaleNormal="100" workbookViewId="0">
      <pane xSplit="2" topLeftCell="C1" activePane="topRight" state="frozen"/>
      <selection pane="topRight" activeCell="I15" sqref="I15"/>
    </sheetView>
  </sheetViews>
  <sheetFormatPr defaultColWidth="10.90625" defaultRowHeight="15.5"/>
  <cols>
    <col min="1" max="1" width="3.1796875" customWidth="1"/>
    <col min="2" max="2" width="39.453125" bestFit="1" customWidth="1"/>
    <col min="3" max="3" width="16.1796875" customWidth="1"/>
    <col min="4" max="4" width="3.453125" customWidth="1"/>
    <col min="5" max="7" width="19.6328125" customWidth="1"/>
    <col min="8" max="8" width="3.1796875" customWidth="1"/>
    <col min="9" max="9" width="10.6328125" customWidth="1"/>
    <col min="10" max="10" width="3.1796875" customWidth="1"/>
    <col min="11" max="11" width="18" customWidth="1"/>
    <col min="12" max="12" width="3.81640625" style="42" customWidth="1"/>
  </cols>
  <sheetData>
    <row r="1" spans="2:13">
      <c r="E1" s="218" t="s">
        <v>37</v>
      </c>
      <c r="F1" s="218"/>
      <c r="G1" s="218"/>
      <c r="I1" s="88"/>
      <c r="K1" s="87"/>
      <c r="L1" s="43"/>
    </row>
    <row r="2" spans="2:13" ht="29">
      <c r="B2" s="66" t="s">
        <v>13</v>
      </c>
      <c r="C2" s="45" t="s">
        <v>44</v>
      </c>
      <c r="D2" s="46"/>
      <c r="E2" s="45" t="s">
        <v>39</v>
      </c>
      <c r="F2" s="45" t="s">
        <v>42</v>
      </c>
      <c r="G2" s="45" t="s">
        <v>40</v>
      </c>
      <c r="I2" s="45" t="s">
        <v>58</v>
      </c>
      <c r="K2" s="45" t="s">
        <v>61</v>
      </c>
      <c r="L2" s="47"/>
    </row>
    <row r="3" spans="2:13">
      <c r="B3" s="122" t="s">
        <v>1</v>
      </c>
      <c r="C3" s="3">
        <f>VLOOKUP($B3,'School Data'!$B$2:$W$18,4,FALSE)</f>
        <v>2321.6666666666665</v>
      </c>
      <c r="D3" s="3"/>
      <c r="E3" s="52">
        <f>'Institutional Base Calc'!AA4</f>
        <v>50421115.435911335</v>
      </c>
      <c r="F3" s="52">
        <f>'Instituional Equity Calc'!T4</f>
        <v>23525533.205785684</v>
      </c>
      <c r="G3" s="52">
        <f>F3+E3</f>
        <v>73946648.641697019</v>
      </c>
      <c r="I3" s="135">
        <f>VLOOKUP($B3,'School Data'!$B$2:$Z$18,25,FALSE)</f>
        <v>0.23196697774587205</v>
      </c>
      <c r="K3" s="4">
        <f>I3*E3</f>
        <v>11696033.76224409</v>
      </c>
      <c r="L3" s="53"/>
      <c r="M3" s="4"/>
    </row>
    <row r="4" spans="2:13">
      <c r="B4" s="33" t="s">
        <v>2</v>
      </c>
      <c r="C4" s="3">
        <f>VLOOKUP($B4,'School Data'!$B$2:$W$18,4,FALSE)</f>
        <v>6339.3333333333321</v>
      </c>
      <c r="D4" s="3"/>
      <c r="E4" s="52">
        <f>'Institutional Base Calc'!AA5</f>
        <v>119910142.21412911</v>
      </c>
      <c r="F4" s="52">
        <f>'Instituional Equity Calc'!T5</f>
        <v>40497704.341762722</v>
      </c>
      <c r="G4" s="52">
        <f t="shared" ref="G4:G17" si="0">F4+E4</f>
        <v>160407846.55589181</v>
      </c>
      <c r="I4" s="135">
        <f>VLOOKUP($B4,'School Data'!$B$2:$Z$18,25,FALSE)</f>
        <v>0.43805342307287831</v>
      </c>
      <c r="K4" s="4">
        <f t="shared" ref="K4:K17" si="1">I4*E4</f>
        <v>52527048.258054905</v>
      </c>
      <c r="L4" s="53"/>
      <c r="M4" s="4"/>
    </row>
    <row r="5" spans="2:13">
      <c r="B5" s="33" t="s">
        <v>3</v>
      </c>
      <c r="C5" s="3">
        <f>VLOOKUP($B5,'School Data'!$B$2:$W$18,4,FALSE)</f>
        <v>4411.6666666666661</v>
      </c>
      <c r="D5" s="3"/>
      <c r="E5" s="52">
        <f>'Institutional Base Calc'!AA6</f>
        <v>80697118.443290442</v>
      </c>
      <c r="F5" s="52">
        <f>'Instituional Equity Calc'!T6</f>
        <v>30475413.152042482</v>
      </c>
      <c r="G5" s="52">
        <f t="shared" si="0"/>
        <v>111172531.59533292</v>
      </c>
      <c r="I5" s="135">
        <f>VLOOKUP($B5,'School Data'!$B$2:$Z$18,25,FALSE)</f>
        <v>0.31555345674348312</v>
      </c>
      <c r="K5" s="4">
        <f t="shared" si="1"/>
        <v>25464254.674018584</v>
      </c>
      <c r="L5" s="53"/>
      <c r="M5" s="4"/>
    </row>
    <row r="6" spans="2:13">
      <c r="B6" s="33" t="s">
        <v>4</v>
      </c>
      <c r="C6" s="3">
        <f>VLOOKUP($B6,'School Data'!$B$2:$W$18,4,FALSE)</f>
        <v>20425.333333333332</v>
      </c>
      <c r="D6" s="3"/>
      <c r="E6" s="52">
        <f>'Institutional Base Calc'!AA7</f>
        <v>375207626.98001176</v>
      </c>
      <c r="F6" s="52">
        <f>'Instituional Equity Calc'!T7</f>
        <v>78784583.960575745</v>
      </c>
      <c r="G6" s="52">
        <f t="shared" si="0"/>
        <v>453992210.94058752</v>
      </c>
      <c r="I6" s="135">
        <f>VLOOKUP($B6,'School Data'!$B$2:$Z$18,25,FALSE)</f>
        <v>0.47013757425419422</v>
      </c>
      <c r="K6" s="4">
        <f t="shared" si="1"/>
        <v>176399203.59005529</v>
      </c>
      <c r="L6" s="53"/>
      <c r="M6" s="4"/>
    </row>
    <row r="7" spans="2:13">
      <c r="B7" s="33" t="s">
        <v>5</v>
      </c>
      <c r="C7" s="3">
        <f>VLOOKUP($B7,'School Data'!$B$2:$W$18,4,FALSE)</f>
        <v>5942.6666666666661</v>
      </c>
      <c r="D7" s="3"/>
      <c r="E7" s="52">
        <f>'Institutional Base Calc'!AA8</f>
        <v>110499853.82188675</v>
      </c>
      <c r="F7" s="52">
        <f>'Instituional Equity Calc'!T8</f>
        <v>52765684.273404084</v>
      </c>
      <c r="G7" s="52">
        <f t="shared" si="0"/>
        <v>163265538.09529084</v>
      </c>
      <c r="I7" s="135">
        <f>VLOOKUP($B7,'School Data'!$B$2:$Z$18,25,FALSE)</f>
        <v>0.24336717522997553</v>
      </c>
      <c r="K7" s="4">
        <f t="shared" si="1"/>
        <v>26892037.287957795</v>
      </c>
      <c r="L7" s="53"/>
      <c r="M7" s="4"/>
    </row>
    <row r="8" spans="2:13">
      <c r="B8" s="33" t="s">
        <v>6</v>
      </c>
      <c r="C8" s="3">
        <f>VLOOKUP($B8,'School Data'!$B$2:$W$18,4,FALSE)</f>
        <v>15855.666666666666</v>
      </c>
      <c r="D8" s="3"/>
      <c r="E8" s="52">
        <f>'Institutional Base Calc'!AA9</f>
        <v>308989691.19339538</v>
      </c>
      <c r="F8" s="52">
        <f>'Instituional Equity Calc'!T9</f>
        <v>79795037.877007425</v>
      </c>
      <c r="G8" s="52">
        <f t="shared" si="0"/>
        <v>388784729.0704028</v>
      </c>
      <c r="I8" s="135">
        <f>VLOOKUP($B8,'School Data'!$B$2:$Z$18,25,FALSE)</f>
        <v>0.39433115395126883</v>
      </c>
      <c r="K8" s="4">
        <f t="shared" si="1"/>
        <v>121844261.48733781</v>
      </c>
      <c r="L8" s="53"/>
      <c r="M8" s="4"/>
    </row>
    <row r="9" spans="2:13">
      <c r="B9" s="33" t="s">
        <v>7</v>
      </c>
      <c r="C9" s="3">
        <f>VLOOKUP($B9,'School Data'!$B$2:$W$18,4,FALSE)</f>
        <v>10656.666666666666</v>
      </c>
      <c r="D9" s="3"/>
      <c r="E9" s="52">
        <f>'Institutional Base Calc'!AA10</f>
        <v>221177514.68570578</v>
      </c>
      <c r="F9" s="52">
        <f>'Instituional Equity Calc'!T10</f>
        <v>44957747.404728241</v>
      </c>
      <c r="G9" s="52">
        <f t="shared" si="0"/>
        <v>266135262.09043401</v>
      </c>
      <c r="I9" s="135">
        <f>VLOOKUP($B9,'School Data'!$B$2:$Z$18,25,FALSE)</f>
        <v>0.51065686581169845</v>
      </c>
      <c r="K9" s="4">
        <f t="shared" si="1"/>
        <v>112945816.43742342</v>
      </c>
      <c r="L9" s="53"/>
      <c r="M9" s="4"/>
    </row>
    <row r="10" spans="2:13">
      <c r="B10" s="33" t="s">
        <v>121</v>
      </c>
      <c r="C10" s="3">
        <f>VLOOKUP($B10,'School Data'!$B$2:$W$18,4,FALSE)</f>
        <v>405.66666666666663</v>
      </c>
      <c r="D10" s="3"/>
      <c r="E10" s="52">
        <f>'Institutional Base Calc'!AA11</f>
        <v>46780744.888535038</v>
      </c>
      <c r="F10" s="52">
        <f>'Instituional Equity Calc'!T11</f>
        <v>1518961.5148280323</v>
      </c>
      <c r="G10" s="52">
        <f t="shared" si="0"/>
        <v>48299706.403363071</v>
      </c>
      <c r="I10" s="135">
        <f>VLOOKUP($B10,'School Data'!$B$2:$Z$18,25,FALSE)</f>
        <v>0.38287592440427282</v>
      </c>
      <c r="K10" s="4">
        <f t="shared" si="1"/>
        <v>17911220.943518315</v>
      </c>
      <c r="L10" s="53"/>
      <c r="M10" s="4"/>
    </row>
    <row r="11" spans="2:13">
      <c r="B11" s="33" t="s">
        <v>8</v>
      </c>
      <c r="C11" s="3">
        <f>VLOOKUP($B11,'School Data'!$B$2:$W$18,4,FALSE)</f>
        <v>12660</v>
      </c>
      <c r="D11" s="3"/>
      <c r="E11" s="52">
        <f>'Institutional Base Calc'!AA12</f>
        <v>251815634.42519554</v>
      </c>
      <c r="F11" s="52">
        <f>'Instituional Equity Calc'!T12</f>
        <v>62324639.123703599</v>
      </c>
      <c r="G11" s="52">
        <f t="shared" si="0"/>
        <v>314140273.54889917</v>
      </c>
      <c r="I11" s="135">
        <f>VLOOKUP($B11,'School Data'!$B$2:$Z$18,25,FALSE)</f>
        <v>0.52155344918378099</v>
      </c>
      <c r="K11" s="4">
        <f t="shared" si="1"/>
        <v>131335312.69286279</v>
      </c>
      <c r="L11" s="53"/>
      <c r="M11" s="4"/>
    </row>
    <row r="12" spans="2:13">
      <c r="B12" s="33" t="s">
        <v>9</v>
      </c>
      <c r="C12" s="3">
        <f>VLOOKUP($B12,'School Data'!$B$2:$W$18,4,FALSE)</f>
        <v>31498</v>
      </c>
      <c r="D12" s="3"/>
      <c r="E12" s="52">
        <f>'Institutional Base Calc'!AA13</f>
        <v>631938744.44612586</v>
      </c>
      <c r="F12" s="52">
        <f>'Instituional Equity Calc'!T13</f>
        <v>191319029.37953025</v>
      </c>
      <c r="G12" s="52">
        <f t="shared" si="0"/>
        <v>823257773.82565618</v>
      </c>
      <c r="I12" s="135">
        <f>VLOOKUP($B12,'School Data'!$B$2:$Z$18,25,FALSE)</f>
        <v>0.40958103159989001</v>
      </c>
      <c r="K12" s="4">
        <f t="shared" si="1"/>
        <v>258830122.8581835</v>
      </c>
      <c r="L12" s="53"/>
      <c r="M12" s="4"/>
    </row>
    <row r="13" spans="2:13">
      <c r="B13" s="33" t="s">
        <v>126</v>
      </c>
      <c r="C13" s="3">
        <f>VLOOKUP($B13,'School Data'!$B$2:$W$18,4,FALSE)</f>
        <v>1528</v>
      </c>
      <c r="D13" s="3"/>
      <c r="E13" s="52">
        <f>'Institutional Base Calc'!AA14</f>
        <v>177631545.98811421</v>
      </c>
      <c r="F13" s="52">
        <f>'Instituional Equity Calc'!T14</f>
        <v>9200262.1394900419</v>
      </c>
      <c r="G13" s="52">
        <f t="shared" si="0"/>
        <v>186831808.12760425</v>
      </c>
      <c r="I13" s="135">
        <f>VLOOKUP($B13,'School Data'!$B$2:$Z$18,25,FALSE)</f>
        <v>0.37199989092495633</v>
      </c>
      <c r="K13" s="4">
        <f t="shared" si="1"/>
        <v>66078915.73240985</v>
      </c>
      <c r="L13" s="53"/>
      <c r="M13" s="4"/>
    </row>
    <row r="14" spans="2:13">
      <c r="B14" s="33" t="s">
        <v>10</v>
      </c>
      <c r="C14" s="3">
        <f>VLOOKUP($B14,'School Data'!$B$2:$W$18,4,FALSE)</f>
        <v>3936.6666666666661</v>
      </c>
      <c r="D14" s="3"/>
      <c r="E14" s="52">
        <f>'Institutional Base Calc'!AA15</f>
        <v>73461002.145379215</v>
      </c>
      <c r="F14" s="52">
        <f>'Instituional Equity Calc'!T15</f>
        <v>14934272.676636999</v>
      </c>
      <c r="G14" s="52">
        <f t="shared" si="0"/>
        <v>88395274.822016209</v>
      </c>
      <c r="I14" s="135">
        <f>VLOOKUP($B14,'School Data'!$B$2:$Z$18,25,FALSE)</f>
        <v>0.51209991532599497</v>
      </c>
      <c r="K14" s="4">
        <f t="shared" si="1"/>
        <v>37619372.978411429</v>
      </c>
      <c r="L14" s="53"/>
      <c r="M14" s="4"/>
    </row>
    <row r="15" spans="2:13">
      <c r="B15" s="33" t="s">
        <v>11</v>
      </c>
      <c r="C15" s="3">
        <f>VLOOKUP($B15,'School Data'!$B$2:$W$18,4,FALSE)</f>
        <v>53490.999999999993</v>
      </c>
      <c r="D15" s="3"/>
      <c r="E15" s="52">
        <f>'Institutional Base Calc'!AA16</f>
        <v>1068300917.635578</v>
      </c>
      <c r="F15" s="52">
        <f>'Instituional Equity Calc'!T16</f>
        <v>109878923.4989408</v>
      </c>
      <c r="G15" s="52">
        <f t="shared" si="0"/>
        <v>1178179841.1345189</v>
      </c>
      <c r="I15" s="135">
        <f>VLOOKUP($B15,'School Data'!$B$2:$Z$18,25,FALSE)</f>
        <v>0.65064714936469059</v>
      </c>
      <c r="K15" s="4">
        <f t="shared" si="1"/>
        <v>695086946.72327197</v>
      </c>
      <c r="L15" s="53"/>
      <c r="M15" s="4"/>
    </row>
    <row r="16" spans="2:13">
      <c r="B16" s="33" t="s">
        <v>127</v>
      </c>
      <c r="C16" s="3">
        <f>VLOOKUP($B16,'School Data'!$B$2:$W$18,4,FALSE)</f>
        <v>148.66666666666666</v>
      </c>
      <c r="D16" s="3"/>
      <c r="E16" s="52">
        <f>'Institutional Base Calc'!AA17</f>
        <v>19239336.820953347</v>
      </c>
      <c r="F16" s="52">
        <f>'Instituional Equity Calc'!T17</f>
        <v>633813.74508436886</v>
      </c>
      <c r="G16" s="52">
        <f t="shared" si="0"/>
        <v>19873150.566037714</v>
      </c>
      <c r="I16" s="135">
        <f>VLOOKUP($B16,'School Data'!$B$2:$Z$18,25,FALSE)</f>
        <v>0.47255605381165922</v>
      </c>
      <c r="K16" s="4">
        <f t="shared" si="1"/>
        <v>9091665.0860630665</v>
      </c>
      <c r="L16" s="53"/>
      <c r="M16" s="4"/>
    </row>
    <row r="17" spans="2:13">
      <c r="B17" s="33" t="s">
        <v>12</v>
      </c>
      <c r="C17" s="3">
        <f>VLOOKUP($B17,'School Data'!$B$2:$W$18,4,FALSE)</f>
        <v>7369.6666666666661</v>
      </c>
      <c r="D17" s="3"/>
      <c r="E17" s="52">
        <f>'Institutional Base Calc'!AA18</f>
        <v>142667787.2392655</v>
      </c>
      <c r="F17" s="52">
        <f>'Instituional Equity Calc'!T18</f>
        <v>46390049.473566063</v>
      </c>
      <c r="G17" s="52">
        <f t="shared" si="0"/>
        <v>189057836.71283156</v>
      </c>
      <c r="I17" s="135">
        <f>VLOOKUP($B17,'School Data'!$B$2:$Z$18,25,FALSE)</f>
        <v>0.45482382740060601</v>
      </c>
      <c r="K17" s="4">
        <f t="shared" si="1"/>
        <v>64888709.038938075</v>
      </c>
      <c r="L17" s="53"/>
      <c r="M17" s="4"/>
    </row>
    <row r="18" spans="2:13">
      <c r="B18" s="54" t="s">
        <v>23</v>
      </c>
      <c r="C18" s="25">
        <f>SUM(C3:C17)</f>
        <v>176990.66666666666</v>
      </c>
      <c r="D18" s="55"/>
      <c r="E18" s="56">
        <f>'Institutional Base Calc'!AA19</f>
        <v>3678738776.3634777</v>
      </c>
      <c r="F18" s="56">
        <f>'Instituional Equity Calc'!T19</f>
        <v>787001655.76708639</v>
      </c>
      <c r="G18" s="56">
        <f>F18+E18</f>
        <v>4465740432.1305637</v>
      </c>
      <c r="I18" s="136">
        <f>VLOOKUP($B18,'School Data'!$B$2:$Z$18,25,FALSE)</f>
        <v>0.50042177365284823</v>
      </c>
      <c r="J18" s="44"/>
      <c r="K18" s="6">
        <f>SUM(K3:K17)</f>
        <v>1808610921.550751</v>
      </c>
      <c r="L18" s="57"/>
      <c r="M18" s="4"/>
    </row>
    <row r="19" spans="2:13" ht="16" customHeight="1">
      <c r="B19" s="1"/>
      <c r="C19" s="1"/>
      <c r="D19" s="1"/>
      <c r="E19" s="48"/>
      <c r="G19" s="48"/>
      <c r="K19" s="19"/>
      <c r="L19" s="9"/>
    </row>
    <row r="20" spans="2:13" ht="14.5">
      <c r="E20" s="2"/>
      <c r="G20" s="16"/>
      <c r="K20" s="9"/>
      <c r="L20" s="9"/>
    </row>
    <row r="21" spans="2:13" ht="14.5">
      <c r="K21" s="9"/>
      <c r="L21" s="9"/>
    </row>
    <row r="22" spans="2:13" ht="14.5">
      <c r="K22" s="9"/>
      <c r="L22" s="9"/>
    </row>
    <row r="23" spans="2:13" ht="14.5">
      <c r="K23" s="9"/>
      <c r="L23" s="9"/>
    </row>
    <row r="24" spans="2:13" ht="14.5">
      <c r="K24" s="9"/>
      <c r="L24" s="9"/>
    </row>
    <row r="25" spans="2:13" ht="14.5">
      <c r="K25" s="9"/>
      <c r="L25" s="9"/>
    </row>
    <row r="26" spans="2:13" ht="14.5">
      <c r="K26" s="9"/>
      <c r="L26" s="9"/>
    </row>
    <row r="27" spans="2:13" ht="14.5">
      <c r="K27" s="9"/>
      <c r="L27" s="9"/>
    </row>
  </sheetData>
  <mergeCells count="1">
    <mergeCell ref="E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446C-E39E-0E4F-8E7F-3538ED979403}">
  <sheetPr codeName="Sheet7"/>
  <dimension ref="B1:AI51"/>
  <sheetViews>
    <sheetView zoomScaleNormal="100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B3" sqref="B3:B18"/>
    </sheetView>
  </sheetViews>
  <sheetFormatPr defaultColWidth="10.90625" defaultRowHeight="14.5"/>
  <cols>
    <col min="2" max="2" width="42.1796875" bestFit="1" customWidth="1"/>
    <col min="5" max="5" width="11.81640625" customWidth="1"/>
    <col min="9" max="9" width="11.81640625" customWidth="1"/>
    <col min="10" max="10" width="12.6328125" bestFit="1" customWidth="1"/>
    <col min="11" max="11" width="11.1796875" bestFit="1" customWidth="1"/>
    <col min="19" max="19" width="10.81640625" customWidth="1"/>
    <col min="20" max="20" width="12.36328125" customWidth="1"/>
    <col min="21" max="21" width="12.453125" customWidth="1"/>
    <col min="22" max="22" width="13.1796875" customWidth="1"/>
    <col min="23" max="24" width="16.1796875" customWidth="1"/>
    <col min="26" max="26" width="12.6328125" customWidth="1"/>
    <col min="27" max="27" width="16.36328125" bestFit="1" customWidth="1"/>
    <col min="28" max="28" width="13.81640625" customWidth="1"/>
    <col min="29" max="29" width="14.6328125" bestFit="1" customWidth="1"/>
    <col min="30" max="30" width="12.6328125" bestFit="1" customWidth="1"/>
    <col min="31" max="31" width="11.1796875" bestFit="1" customWidth="1"/>
    <col min="34" max="34" width="13.6328125" bestFit="1" customWidth="1"/>
  </cols>
  <sheetData>
    <row r="1" spans="2:35" ht="32" customHeight="1">
      <c r="C1" s="221" t="s">
        <v>110</v>
      </c>
      <c r="D1" s="221"/>
      <c r="E1" s="221"/>
      <c r="F1" s="220" t="s">
        <v>17</v>
      </c>
      <c r="G1" s="220"/>
      <c r="H1" s="220"/>
      <c r="I1" s="121" t="s">
        <v>100</v>
      </c>
      <c r="J1" s="220" t="s">
        <v>0</v>
      </c>
      <c r="K1" s="220"/>
      <c r="L1" s="216" t="s">
        <v>18</v>
      </c>
      <c r="M1" s="216"/>
      <c r="N1" s="220" t="s">
        <v>25</v>
      </c>
      <c r="O1" s="220"/>
      <c r="P1" s="220"/>
      <c r="Q1" s="220"/>
      <c r="R1" s="216" t="s">
        <v>26</v>
      </c>
      <c r="S1" s="216"/>
      <c r="T1" s="220" t="s">
        <v>86</v>
      </c>
      <c r="U1" s="220"/>
      <c r="V1" s="216" t="s">
        <v>104</v>
      </c>
      <c r="W1" s="216"/>
      <c r="X1" s="216"/>
    </row>
    <row r="2" spans="2:35" s="18" customFormat="1" ht="72.5">
      <c r="B2" s="159" t="s">
        <v>13</v>
      </c>
      <c r="C2" s="160" t="s">
        <v>78</v>
      </c>
      <c r="D2" s="160" t="s">
        <v>168</v>
      </c>
      <c r="E2" s="160" t="s">
        <v>93</v>
      </c>
      <c r="F2" s="160" t="s">
        <v>108</v>
      </c>
      <c r="G2" s="160" t="s">
        <v>122</v>
      </c>
      <c r="H2" s="160" t="s">
        <v>137</v>
      </c>
      <c r="I2" s="160" t="s">
        <v>94</v>
      </c>
      <c r="J2" s="160" t="s">
        <v>64</v>
      </c>
      <c r="K2" s="160" t="s">
        <v>65</v>
      </c>
      <c r="L2" s="160" t="s">
        <v>19</v>
      </c>
      <c r="M2" s="160" t="s">
        <v>21</v>
      </c>
      <c r="N2" s="160" t="s">
        <v>24</v>
      </c>
      <c r="O2" s="160" t="s">
        <v>19</v>
      </c>
      <c r="P2" s="160" t="s">
        <v>20</v>
      </c>
      <c r="Q2" s="160" t="s">
        <v>21</v>
      </c>
      <c r="R2" s="160" t="s">
        <v>19</v>
      </c>
      <c r="S2" s="160" t="s">
        <v>20</v>
      </c>
      <c r="T2" s="161" t="s">
        <v>98</v>
      </c>
      <c r="U2" s="161" t="s">
        <v>86</v>
      </c>
      <c r="V2" s="161" t="s">
        <v>109</v>
      </c>
      <c r="W2" s="161" t="s">
        <v>123</v>
      </c>
      <c r="X2" s="161" t="s">
        <v>138</v>
      </c>
      <c r="Y2" s="161" t="s">
        <v>58</v>
      </c>
      <c r="Z2" s="161" t="s">
        <v>136</v>
      </c>
      <c r="AA2" s="161" t="s">
        <v>103</v>
      </c>
      <c r="AB2" s="161" t="s">
        <v>102</v>
      </c>
      <c r="AC2" s="162" t="s">
        <v>139</v>
      </c>
    </row>
    <row r="3" spans="2:35">
      <c r="B3" s="122" t="s">
        <v>1</v>
      </c>
      <c r="C3" s="126">
        <v>1488.6666666666665</v>
      </c>
      <c r="D3" s="126">
        <v>833</v>
      </c>
      <c r="E3" s="126">
        <f>C3+D3</f>
        <v>2321.6666666666665</v>
      </c>
      <c r="F3" s="50">
        <f>'High-Cost Enrollment'!O5</f>
        <v>5.0421476263259594E-2</v>
      </c>
      <c r="G3" s="50">
        <f>'High-Cost Enrollment'!P5</f>
        <v>6.4590210994689257E-2</v>
      </c>
      <c r="H3" s="50">
        <f>'High-Cost Enrollment'!Q5</f>
        <v>0</v>
      </c>
      <c r="I3" s="32" t="s">
        <v>46</v>
      </c>
      <c r="J3" s="124">
        <v>1070837.6666666667</v>
      </c>
      <c r="K3" s="124">
        <v>187839.25</v>
      </c>
      <c r="L3" s="123">
        <v>1289.3333333333333</v>
      </c>
      <c r="M3" s="123">
        <v>111</v>
      </c>
      <c r="N3" s="123">
        <v>1256</v>
      </c>
      <c r="O3" s="123">
        <v>143</v>
      </c>
      <c r="P3" s="123">
        <v>25.666666666666664</v>
      </c>
      <c r="Q3" s="123">
        <v>1</v>
      </c>
      <c r="R3" s="123">
        <v>516.33333333333326</v>
      </c>
      <c r="S3" s="123">
        <v>48.666666666666664</v>
      </c>
      <c r="T3" s="151">
        <f>IFERROR((N3+O3)/C3,0)</f>
        <v>0.93976712942230189</v>
      </c>
      <c r="U3" s="125">
        <f>IF(T3&gt;'Model Costs and Assumptions'!$E$18,'Model Costs and Assumptions'!$D$18,IF('School Data'!T3&gt;'Model Costs and Assumptions'!$E$19,'Model Costs and Assumptions'!$D$19,IF('School Data'!T3&gt;'Model Costs and Assumptions'!$E$20,'Model Costs and Assumptions'!$D$20,1)*1)*1)</f>
        <v>1.5</v>
      </c>
      <c r="V3" s="152">
        <f>'High-Cost Enrollment'!S5</f>
        <v>8.9134491172671179E-2</v>
      </c>
      <c r="W3" s="152">
        <f>'High-Cost Enrollment'!T5</f>
        <v>3.4878713937132197E-2</v>
      </c>
      <c r="X3" s="152">
        <f>'High-Cost Enrollment'!U5</f>
        <v>0</v>
      </c>
      <c r="Y3" s="152">
        <f>'ESS Index'!O5</f>
        <v>0.23196697774587205</v>
      </c>
      <c r="Z3" s="152">
        <f>Y3</f>
        <v>0.23196697774587205</v>
      </c>
      <c r="AA3" s="154">
        <v>39493233.333333336</v>
      </c>
      <c r="AB3" s="4">
        <v>5935750</v>
      </c>
      <c r="AE3" s="7"/>
      <c r="AF3" s="7"/>
      <c r="AI3" s="2"/>
    </row>
    <row r="4" spans="2:35">
      <c r="B4" s="33" t="s">
        <v>2</v>
      </c>
      <c r="C4" s="126">
        <v>4666.6666666666661</v>
      </c>
      <c r="D4" s="126">
        <v>1672.6666666666665</v>
      </c>
      <c r="E4" s="126">
        <f t="shared" ref="E4:E17" si="0">C4+D4</f>
        <v>6339.3333333333321</v>
      </c>
      <c r="F4" s="50">
        <f>'High-Cost Enrollment'!O6</f>
        <v>0.11720681181055354</v>
      </c>
      <c r="G4" s="50">
        <f>'High-Cost Enrollment'!P6</f>
        <v>1.0410094637223975E-2</v>
      </c>
      <c r="H4" s="50">
        <f>'High-Cost Enrollment'!Q6</f>
        <v>0</v>
      </c>
      <c r="I4" t="s">
        <v>46</v>
      </c>
      <c r="J4" s="127">
        <v>1429371.96</v>
      </c>
      <c r="K4" s="127">
        <v>245773.04</v>
      </c>
      <c r="L4" s="3">
        <v>3571</v>
      </c>
      <c r="M4" s="3">
        <v>178.33333333333334</v>
      </c>
      <c r="N4" s="3">
        <v>2068</v>
      </c>
      <c r="O4" s="3">
        <v>1150</v>
      </c>
      <c r="P4" s="3">
        <v>770</v>
      </c>
      <c r="Q4" s="3">
        <v>369</v>
      </c>
      <c r="R4" s="3">
        <v>99</v>
      </c>
      <c r="S4" s="3">
        <v>93.666666666666657</v>
      </c>
      <c r="T4" s="151">
        <f t="shared" ref="T4:T17" si="1">IFERROR((N4+O4)/C4,0)</f>
        <v>0.68957142857142861</v>
      </c>
      <c r="U4" s="128">
        <f>IF(T4&gt;'Model Costs and Assumptions'!$E$18,'Model Costs and Assumptions'!$D$18,IF('School Data'!T4&gt;'Model Costs and Assumptions'!$E$19,'Model Costs and Assumptions'!$D$19,IF('School Data'!T4&gt;'Model Costs and Assumptions'!$E$20,'Model Costs and Assumptions'!$D$20,1)*1)*1)</f>
        <v>1.3</v>
      </c>
      <c r="V4" s="152">
        <f>'High-Cost Enrollment'!S6</f>
        <v>2.1135646687697161E-2</v>
      </c>
      <c r="W4" s="152">
        <f>'High-Cost Enrollment'!T6</f>
        <v>4.7318611987381704E-4</v>
      </c>
      <c r="X4" s="152">
        <f>'High-Cost Enrollment'!U6</f>
        <v>0</v>
      </c>
      <c r="Y4" s="152">
        <f>'ESS Index'!O6</f>
        <v>0.43805342307287831</v>
      </c>
      <c r="Z4" s="152">
        <f t="shared" ref="Z4:Z18" si="2">Y4</f>
        <v>0.43805342307287831</v>
      </c>
      <c r="AA4" s="154">
        <v>42979166.666666664</v>
      </c>
      <c r="AB4" s="4">
        <v>57840625</v>
      </c>
      <c r="AE4" s="7"/>
      <c r="AF4" s="7"/>
      <c r="AI4" s="2"/>
    </row>
    <row r="5" spans="2:35">
      <c r="B5" s="33" t="s">
        <v>3</v>
      </c>
      <c r="C5" s="126">
        <v>2773.333333333333</v>
      </c>
      <c r="D5" s="126">
        <v>1638.3333333333333</v>
      </c>
      <c r="E5" s="126">
        <f t="shared" si="0"/>
        <v>4411.6666666666661</v>
      </c>
      <c r="F5" s="50">
        <f>'High-Cost Enrollment'!O7</f>
        <v>8.8453719825029642E-2</v>
      </c>
      <c r="G5" s="50">
        <f>'High-Cost Enrollment'!P7</f>
        <v>2.4696019938071145E-2</v>
      </c>
      <c r="H5" s="50">
        <f>'High-Cost Enrollment'!Q7</f>
        <v>0</v>
      </c>
      <c r="I5" t="s">
        <v>46</v>
      </c>
      <c r="J5" s="127">
        <v>578484.00008999999</v>
      </c>
      <c r="K5" s="127">
        <v>143924.76</v>
      </c>
      <c r="L5" s="3">
        <v>2256.6666666666665</v>
      </c>
      <c r="M5" s="3">
        <v>156.33333333333334</v>
      </c>
      <c r="N5" s="3">
        <v>1560.3333333333333</v>
      </c>
      <c r="O5" s="3">
        <v>431.33333333333331</v>
      </c>
      <c r="P5" s="3">
        <v>481.33333333333331</v>
      </c>
      <c r="Q5" s="3">
        <v>243.66666666666666</v>
      </c>
      <c r="R5" s="3">
        <v>523.66666666666663</v>
      </c>
      <c r="S5" s="3">
        <v>191</v>
      </c>
      <c r="T5" s="151">
        <f t="shared" si="1"/>
        <v>0.71814903846153844</v>
      </c>
      <c r="U5" s="128">
        <f>IF(T5&gt;'Model Costs and Assumptions'!$E$18,'Model Costs and Assumptions'!$D$18,IF('School Data'!T5&gt;'Model Costs and Assumptions'!$E$19,'Model Costs and Assumptions'!$D$19,IF('School Data'!T5&gt;'Model Costs and Assumptions'!$E$20,'Model Costs and Assumptions'!$D$20,1)*1)*1)</f>
        <v>1.3</v>
      </c>
      <c r="V5" s="152">
        <f>'High-Cost Enrollment'!S7</f>
        <v>1.6992674269315007E-2</v>
      </c>
      <c r="W5" s="152">
        <f>'High-Cost Enrollment'!T7</f>
        <v>9.0627596103013373E-3</v>
      </c>
      <c r="X5" s="152">
        <f>'High-Cost Enrollment'!U7</f>
        <v>0</v>
      </c>
      <c r="Y5" s="152">
        <f>'ESS Index'!O7</f>
        <v>0.31555345674348312</v>
      </c>
      <c r="Z5" s="152">
        <f t="shared" si="2"/>
        <v>0.31555345674348312</v>
      </c>
      <c r="AA5" s="154">
        <v>23966733.333333332</v>
      </c>
      <c r="AB5" s="4">
        <v>2259375</v>
      </c>
      <c r="AE5" s="7"/>
      <c r="AF5" s="7"/>
      <c r="AI5" s="2"/>
    </row>
    <row r="6" spans="2:35">
      <c r="B6" s="33" t="s">
        <v>4</v>
      </c>
      <c r="C6" s="126">
        <v>17868.666666666664</v>
      </c>
      <c r="D6" s="126">
        <v>2556.6666666666665</v>
      </c>
      <c r="E6" s="126">
        <f t="shared" si="0"/>
        <v>20425.333333333332</v>
      </c>
      <c r="F6" s="50">
        <f>'High-Cost Enrollment'!O8</f>
        <v>0.19111695555574329</v>
      </c>
      <c r="G6" s="50">
        <f>'High-Cost Enrollment'!P8</f>
        <v>7.4412532637075715E-3</v>
      </c>
      <c r="H6" s="50">
        <f>'High-Cost Enrollment'!Q8</f>
        <v>0</v>
      </c>
      <c r="I6" t="s">
        <v>47</v>
      </c>
      <c r="J6" s="127">
        <v>2733804.7233333336</v>
      </c>
      <c r="K6" s="127">
        <v>678582.61</v>
      </c>
      <c r="L6" s="3">
        <v>8471.3333333333339</v>
      </c>
      <c r="M6" s="3">
        <v>406</v>
      </c>
      <c r="N6" s="3">
        <v>2196.6666666666665</v>
      </c>
      <c r="O6" s="3">
        <v>2778.6666666666665</v>
      </c>
      <c r="P6" s="3">
        <v>4696</v>
      </c>
      <c r="Q6" s="3">
        <v>7220</v>
      </c>
      <c r="R6" s="3">
        <v>189.33333333333331</v>
      </c>
      <c r="S6" s="3">
        <v>242</v>
      </c>
      <c r="T6" s="151">
        <f t="shared" si="1"/>
        <v>0.27843898071111445</v>
      </c>
      <c r="U6" s="128">
        <f>IF(T6&gt;'Model Costs and Assumptions'!$E$18,'Model Costs and Assumptions'!$D$18,IF('School Data'!T6&gt;'Model Costs and Assumptions'!$E$19,'Model Costs and Assumptions'!$D$19,IF('School Data'!T6&gt;'Model Costs and Assumptions'!$E$20,'Model Costs and Assumptions'!$D$20,1)*1)*1)</f>
        <v>1</v>
      </c>
      <c r="V6" s="152">
        <f>'High-Cost Enrollment'!S8</f>
        <v>2.0218668407310705E-2</v>
      </c>
      <c r="W6" s="152">
        <f>'High-Cost Enrollment'!T8</f>
        <v>1.272845953002611E-3</v>
      </c>
      <c r="X6" s="152">
        <f>'High-Cost Enrollment'!U8</f>
        <v>0</v>
      </c>
      <c r="Y6" s="152">
        <f>'ESS Index'!O8</f>
        <v>0.47013757425419422</v>
      </c>
      <c r="Z6" s="152">
        <f t="shared" si="2"/>
        <v>0.47013757425419422</v>
      </c>
      <c r="AA6" s="154">
        <v>71966633.333333328</v>
      </c>
      <c r="AB6" s="4">
        <v>134397775</v>
      </c>
      <c r="AE6" s="7"/>
      <c r="AF6" s="7"/>
      <c r="AI6" s="2"/>
    </row>
    <row r="7" spans="2:35">
      <c r="B7" s="33" t="s">
        <v>5</v>
      </c>
      <c r="C7" s="126">
        <v>4593</v>
      </c>
      <c r="D7" s="126">
        <v>1349.6666666666665</v>
      </c>
      <c r="E7" s="126">
        <f t="shared" si="0"/>
        <v>5942.6666666666661</v>
      </c>
      <c r="F7" s="50">
        <f>'High-Cost Enrollment'!O9</f>
        <v>0.1220752984389348</v>
      </c>
      <c r="G7" s="50">
        <f>'High-Cost Enrollment'!P9</f>
        <v>0</v>
      </c>
      <c r="H7" s="50">
        <f>'High-Cost Enrollment'!Q9</f>
        <v>0</v>
      </c>
      <c r="I7" t="s">
        <v>46</v>
      </c>
      <c r="J7" s="155">
        <v>1233938.8500000001</v>
      </c>
      <c r="K7" s="155">
        <v>162137.54999999999</v>
      </c>
      <c r="L7" s="3">
        <v>4092.3333333333335</v>
      </c>
      <c r="M7" s="3">
        <v>38.333333333333336</v>
      </c>
      <c r="N7" s="3">
        <v>2784.333333333333</v>
      </c>
      <c r="O7" s="3">
        <v>755.66666666666663</v>
      </c>
      <c r="P7" s="3">
        <v>746.33333333333326</v>
      </c>
      <c r="Q7" s="3">
        <v>118.33333333333333</v>
      </c>
      <c r="R7" s="3">
        <v>113.66666666666666</v>
      </c>
      <c r="S7" s="3">
        <v>418</v>
      </c>
      <c r="T7" s="151">
        <f t="shared" si="1"/>
        <v>0.77073807968647934</v>
      </c>
      <c r="U7" s="128">
        <f>IF(T7&gt;'Model Costs and Assumptions'!$E$18,'Model Costs and Assumptions'!$D$18,IF('School Data'!T7&gt;'Model Costs and Assumptions'!$E$19,'Model Costs and Assumptions'!$D$19,IF('School Data'!T7&gt;'Model Costs and Assumptions'!$E$20,'Model Costs and Assumptions'!$D$20,1)*1)*1)</f>
        <v>1.5</v>
      </c>
      <c r="V7" s="152">
        <f>'High-Cost Enrollment'!S9</f>
        <v>1.4808997587928419E-2</v>
      </c>
      <c r="W7" s="152">
        <f>'High-Cost Enrollment'!T9</f>
        <v>0</v>
      </c>
      <c r="X7" s="152">
        <f>'High-Cost Enrollment'!U9</f>
        <v>0</v>
      </c>
      <c r="Y7" s="152">
        <f>'ESS Index'!O9</f>
        <v>0.24336717522997553</v>
      </c>
      <c r="Z7" s="152">
        <f t="shared" si="2"/>
        <v>0.24336717522997553</v>
      </c>
      <c r="AA7" s="154">
        <v>36752500</v>
      </c>
      <c r="AB7" s="4">
        <v>11471225</v>
      </c>
      <c r="AE7" s="7"/>
      <c r="AF7" s="7"/>
      <c r="AI7" s="2"/>
    </row>
    <row r="8" spans="2:35">
      <c r="B8" s="33" t="s">
        <v>6</v>
      </c>
      <c r="C8" s="126">
        <v>11796</v>
      </c>
      <c r="D8" s="126">
        <v>4059.6666666666665</v>
      </c>
      <c r="E8" s="126">
        <f t="shared" si="0"/>
        <v>15855.666666666666</v>
      </c>
      <c r="F8" s="50">
        <f>'High-Cost Enrollment'!O10</f>
        <v>0.18963294276383771</v>
      </c>
      <c r="G8" s="50">
        <f>'High-Cost Enrollment'!P10</f>
        <v>1.2677388836329235E-2</v>
      </c>
      <c r="H8" s="50">
        <f>'High-Cost Enrollment'!Q10</f>
        <v>0</v>
      </c>
      <c r="I8" t="s">
        <v>47</v>
      </c>
      <c r="J8" s="155">
        <v>3568426.69</v>
      </c>
      <c r="K8" s="155">
        <v>831092.30999999994</v>
      </c>
      <c r="L8" s="3">
        <v>7827</v>
      </c>
      <c r="M8" s="3">
        <v>512</v>
      </c>
      <c r="N8" s="3">
        <v>3407.333333333333</v>
      </c>
      <c r="O8" s="3">
        <v>3124.333333333333</v>
      </c>
      <c r="P8" s="3">
        <v>2589</v>
      </c>
      <c r="Q8" s="3">
        <v>1930.3333333333333</v>
      </c>
      <c r="R8" s="3">
        <v>330</v>
      </c>
      <c r="S8" s="3">
        <v>514.66666666666663</v>
      </c>
      <c r="T8" s="151">
        <f t="shared" si="1"/>
        <v>0.5537187747258957</v>
      </c>
      <c r="U8" s="128">
        <f>IF(T8&gt;'Model Costs and Assumptions'!$E$18,'Model Costs and Assumptions'!$D$18,IF('School Data'!T8&gt;'Model Costs and Assumptions'!$E$19,'Model Costs and Assumptions'!$D$19,IF('School Data'!T8&gt;'Model Costs and Assumptions'!$E$20,'Model Costs and Assumptions'!$D$20,1)*1)*1)</f>
        <v>1.1000000000000001</v>
      </c>
      <c r="V8" s="152">
        <f>'High-Cost Enrollment'!S10</f>
        <v>5.3484705140334286E-2</v>
      </c>
      <c r="W8" s="152">
        <f>'High-Cost Enrollment'!T10</f>
        <v>2.6490066225165567E-3</v>
      </c>
      <c r="X8" s="152">
        <f>'High-Cost Enrollment'!U10</f>
        <v>0</v>
      </c>
      <c r="Y8" s="152">
        <f>'ESS Index'!O10</f>
        <v>0.39433115395126883</v>
      </c>
      <c r="Z8" s="152">
        <f t="shared" si="2"/>
        <v>0.39433115395126883</v>
      </c>
      <c r="AA8" s="154">
        <v>90757866.666666672</v>
      </c>
      <c r="AB8" s="4">
        <v>80502474.999999985</v>
      </c>
      <c r="AE8" s="7"/>
      <c r="AF8" s="7"/>
      <c r="AI8" s="2"/>
    </row>
    <row r="9" spans="2:35">
      <c r="B9" s="33" t="s">
        <v>7</v>
      </c>
      <c r="C9" s="126">
        <v>8003.333333333333</v>
      </c>
      <c r="D9" s="126">
        <v>2653.333333333333</v>
      </c>
      <c r="E9" s="126">
        <f t="shared" si="0"/>
        <v>10656.666666666666</v>
      </c>
      <c r="F9" s="50">
        <f>'High-Cost Enrollment'!O11</f>
        <v>0.17035425435774498</v>
      </c>
      <c r="G9" s="50">
        <f>'High-Cost Enrollment'!P11</f>
        <v>4.6918986549890507E-3</v>
      </c>
      <c r="H9" s="50">
        <f>'High-Cost Enrollment'!Q11</f>
        <v>0</v>
      </c>
      <c r="I9" t="s">
        <v>47</v>
      </c>
      <c r="J9" s="156">
        <v>2833820.4866666668</v>
      </c>
      <c r="K9" s="156">
        <v>1520276.5133333332</v>
      </c>
      <c r="L9" s="3">
        <v>5233.333333333333</v>
      </c>
      <c r="M9" s="3">
        <v>258.66666666666669</v>
      </c>
      <c r="N9" s="3">
        <v>2018</v>
      </c>
      <c r="O9" s="3">
        <v>1524</v>
      </c>
      <c r="P9" s="3">
        <v>2174.333333333333</v>
      </c>
      <c r="Q9" s="3">
        <v>1473.6666666666665</v>
      </c>
      <c r="R9" s="3">
        <v>279</v>
      </c>
      <c r="S9" s="3">
        <v>186.66666666666666</v>
      </c>
      <c r="T9" s="151">
        <f t="shared" si="1"/>
        <v>0.44256559766763848</v>
      </c>
      <c r="U9" s="140">
        <f>IF(T9&gt;'Model Costs and Assumptions'!$E$18,'Model Costs and Assumptions'!$D$18,IF('School Data'!T9&gt;'Model Costs and Assumptions'!$E$19,'Model Costs and Assumptions'!$D$19,IF('School Data'!T9&gt;'Model Costs and Assumptions'!$E$20,'Model Costs and Assumptions'!$D$20,1)*1)*1)</f>
        <v>1</v>
      </c>
      <c r="V9" s="152">
        <f>'High-Cost Enrollment'!S11</f>
        <v>2.0832030028151385E-2</v>
      </c>
      <c r="W9" s="152">
        <f>'High-Cost Enrollment'!T11</f>
        <v>6.5686581169846709E-4</v>
      </c>
      <c r="X9" s="152">
        <f>'High-Cost Enrollment'!U11</f>
        <v>0</v>
      </c>
      <c r="Y9" s="152">
        <f>'ESS Index'!O11</f>
        <v>0.51065686581169845</v>
      </c>
      <c r="Z9" s="152">
        <f t="shared" si="2"/>
        <v>0.51065686581169845</v>
      </c>
      <c r="AA9" s="154">
        <v>98442481.395978421</v>
      </c>
      <c r="AB9" s="4">
        <v>145545720.13137674</v>
      </c>
      <c r="AC9" t="s">
        <v>141</v>
      </c>
      <c r="AE9" s="7"/>
      <c r="AF9" s="7"/>
      <c r="AI9" s="2"/>
    </row>
    <row r="10" spans="2:35">
      <c r="B10" s="33" t="s">
        <v>121</v>
      </c>
      <c r="C10" s="126">
        <v>0</v>
      </c>
      <c r="D10" s="126">
        <v>405.66666666666663</v>
      </c>
      <c r="E10" s="126">
        <f t="shared" si="0"/>
        <v>405.66666666666663</v>
      </c>
      <c r="F10" s="50">
        <f>'High-Cost Enrollment'!O12</f>
        <v>0</v>
      </c>
      <c r="G10" s="50">
        <f>'High-Cost Enrollment'!P12</f>
        <v>0</v>
      </c>
      <c r="H10" s="50">
        <f>'High-Cost Enrollment'!Q12</f>
        <v>0.74876847290640391</v>
      </c>
      <c r="I10" t="s">
        <v>47</v>
      </c>
      <c r="J10" s="157">
        <v>842875.18</v>
      </c>
      <c r="K10" s="155">
        <v>82115.819999999992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42</v>
      </c>
      <c r="S10" s="3">
        <v>25.666666666666664</v>
      </c>
      <c r="T10" s="151">
        <f>IFERROR((N10+O10)/C10,0)</f>
        <v>0</v>
      </c>
      <c r="U10" s="140">
        <f>IF(T10&gt;'Model Costs and Assumptions'!$E$18,'Model Costs and Assumptions'!$D$18,IF('School Data'!T10&gt;'Model Costs and Assumptions'!$E$19,'Model Costs and Assumptions'!$D$19,IF('School Data'!T10&gt;'Model Costs and Assumptions'!$E$20,'Model Costs and Assumptions'!$D$20,1)*1)*1)</f>
        <v>1</v>
      </c>
      <c r="V10" s="152">
        <f>'High-Cost Enrollment'!S12</f>
        <v>0</v>
      </c>
      <c r="W10" s="152">
        <f>'High-Cost Enrollment'!T12</f>
        <v>0</v>
      </c>
      <c r="X10" s="152">
        <f>'High-Cost Enrollment'!U12</f>
        <v>0.14532019704433496</v>
      </c>
      <c r="Y10" s="152">
        <f>'ESS Index'!O12</f>
        <v>0.69613804437140503</v>
      </c>
      <c r="Z10" s="152">
        <f>Y10*0.55</f>
        <v>0.38287592440427282</v>
      </c>
      <c r="AA10" s="154">
        <v>24495213.265306123</v>
      </c>
      <c r="AB10" s="4">
        <v>5540479.8686232567</v>
      </c>
      <c r="AC10" s="163" t="s">
        <v>173</v>
      </c>
      <c r="AE10" s="7"/>
      <c r="AF10" s="7"/>
      <c r="AH10" s="16"/>
      <c r="AI10" s="2"/>
    </row>
    <row r="11" spans="2:35">
      <c r="B11" s="33" t="s">
        <v>8</v>
      </c>
      <c r="C11" s="126">
        <v>9692.6666666666661</v>
      </c>
      <c r="D11" s="126">
        <v>2967.333333333333</v>
      </c>
      <c r="E11" s="126">
        <f t="shared" si="0"/>
        <v>12660</v>
      </c>
      <c r="F11" s="50">
        <f>'High-Cost Enrollment'!O13</f>
        <v>0.20696819357310905</v>
      </c>
      <c r="G11" s="50">
        <f>'High-Cost Enrollment'!P13</f>
        <v>6.4298691382079567E-2</v>
      </c>
      <c r="H11" s="50">
        <f>'High-Cost Enrollment'!Q13</f>
        <v>0</v>
      </c>
      <c r="I11" t="s">
        <v>48</v>
      </c>
      <c r="J11" s="155">
        <v>2952325.0066666668</v>
      </c>
      <c r="K11" s="155">
        <v>473873.99333333335</v>
      </c>
      <c r="L11" s="3">
        <v>5542.666666666667</v>
      </c>
      <c r="M11" s="3">
        <v>355.33333333333331</v>
      </c>
      <c r="N11" s="3">
        <v>2981.333333333333</v>
      </c>
      <c r="O11" s="3">
        <v>2151.333333333333</v>
      </c>
      <c r="P11" s="3">
        <v>1944.3333333333333</v>
      </c>
      <c r="Q11" s="3">
        <v>1770.3333333333333</v>
      </c>
      <c r="R11" s="3">
        <v>287.33333333333331</v>
      </c>
      <c r="S11" s="3">
        <v>176.33333333333331</v>
      </c>
      <c r="T11" s="151">
        <f t="shared" si="1"/>
        <v>0.52954123392255315</v>
      </c>
      <c r="U11" s="140">
        <f>IF(T11&gt;'Model Costs and Assumptions'!$E$18,'Model Costs and Assumptions'!$D$18,IF('School Data'!T11&gt;'Model Costs and Assumptions'!$E$19,'Model Costs and Assumptions'!$D$19,IF('School Data'!T11&gt;'Model Costs and Assumptions'!$E$20,'Model Costs and Assumptions'!$D$20,1)*1)*1)</f>
        <v>1.1000000000000001</v>
      </c>
      <c r="V11" s="152">
        <f>'High-Cost Enrollment'!S13</f>
        <v>2.7172911345743702E-2</v>
      </c>
      <c r="W11" s="152">
        <f>'High-Cost Enrollment'!T13</f>
        <v>8.768003370283578E-3</v>
      </c>
      <c r="X11" s="152">
        <f>'High-Cost Enrollment'!U13</f>
        <v>0</v>
      </c>
      <c r="Y11" s="152">
        <f>'ESS Index'!O13</f>
        <v>0.52155344918378099</v>
      </c>
      <c r="Z11" s="152">
        <f t="shared" si="2"/>
        <v>0.52155344918378099</v>
      </c>
      <c r="AA11" s="154">
        <v>63543851.937354892</v>
      </c>
      <c r="AB11" s="4">
        <v>24999850</v>
      </c>
      <c r="AE11" s="7"/>
      <c r="AF11" s="7"/>
      <c r="AH11" s="16"/>
      <c r="AI11" s="2"/>
    </row>
    <row r="12" spans="2:35">
      <c r="B12" s="33" t="s">
        <v>9</v>
      </c>
      <c r="C12" s="126">
        <v>21760</v>
      </c>
      <c r="D12" s="126">
        <v>9738</v>
      </c>
      <c r="E12" s="126">
        <f t="shared" si="0"/>
        <v>31498</v>
      </c>
      <c r="F12" s="50">
        <f>'High-Cost Enrollment'!O14</f>
        <v>0.21397438294969148</v>
      </c>
      <c r="G12" s="50">
        <f>'High-Cost Enrollment'!P14</f>
        <v>5.5432090926408023E-2</v>
      </c>
      <c r="H12" s="50">
        <f>'High-Cost Enrollment'!Q14</f>
        <v>0</v>
      </c>
      <c r="I12" t="s">
        <v>45</v>
      </c>
      <c r="J12" s="156">
        <v>6460245.4348333338</v>
      </c>
      <c r="K12" s="156">
        <v>1464697.4351666667</v>
      </c>
      <c r="L12" s="3">
        <v>14901</v>
      </c>
      <c r="M12" s="3">
        <v>452</v>
      </c>
      <c r="N12" s="3">
        <v>10070.666666666666</v>
      </c>
      <c r="O12" s="3">
        <v>3966</v>
      </c>
      <c r="P12" s="3">
        <v>3414.333333333333</v>
      </c>
      <c r="Q12" s="3">
        <v>1579.6666666666665</v>
      </c>
      <c r="R12" s="3">
        <v>884</v>
      </c>
      <c r="S12" s="3">
        <v>1491.6666666666665</v>
      </c>
      <c r="T12" s="151">
        <f t="shared" si="1"/>
        <v>0.64506740196078427</v>
      </c>
      <c r="U12" s="140">
        <f>IF(T12&gt;'Model Costs and Assumptions'!$E$18,'Model Costs and Assumptions'!$D$18,IF('School Data'!T12&gt;'Model Costs and Assumptions'!$E$19,'Model Costs and Assumptions'!$D$19,IF('School Data'!T12&gt;'Model Costs and Assumptions'!$E$20,'Model Costs and Assumptions'!$D$20,1)*1)*1)</f>
        <v>1.3</v>
      </c>
      <c r="V12" s="152">
        <f>'High-Cost Enrollment'!S14</f>
        <v>4.9749190424788876E-2</v>
      </c>
      <c r="W12" s="152">
        <f>'High-Cost Enrollment'!T14</f>
        <v>1.2445234618070988E-2</v>
      </c>
      <c r="X12" s="152">
        <f>'High-Cost Enrollment'!U14</f>
        <v>0</v>
      </c>
      <c r="Y12" s="152">
        <f>'ESS Index'!O14</f>
        <v>0.40958103159989001</v>
      </c>
      <c r="Z12" s="152">
        <f t="shared" si="2"/>
        <v>0.40958103159989001</v>
      </c>
      <c r="AA12" s="154">
        <v>232796971.37517595</v>
      </c>
      <c r="AB12" s="4">
        <v>373094324.87930357</v>
      </c>
      <c r="AC12" t="s">
        <v>142</v>
      </c>
      <c r="AE12" s="7"/>
      <c r="AF12" s="7"/>
      <c r="AI12" s="2"/>
    </row>
    <row r="13" spans="2:35">
      <c r="B13" s="33" t="s">
        <v>126</v>
      </c>
      <c r="C13" s="126">
        <v>0</v>
      </c>
      <c r="D13" s="126">
        <v>1528</v>
      </c>
      <c r="E13" s="126">
        <f t="shared" si="0"/>
        <v>1528</v>
      </c>
      <c r="F13" s="50">
        <f>'High-Cost Enrollment'!O15</f>
        <v>0</v>
      </c>
      <c r="G13" s="50">
        <f>'High-Cost Enrollment'!P15</f>
        <v>0</v>
      </c>
      <c r="H13" s="50">
        <f>'High-Cost Enrollment'!Q15</f>
        <v>0.8208596988871919</v>
      </c>
      <c r="I13" t="s">
        <v>45</v>
      </c>
      <c r="J13" s="158">
        <v>1317677.4618666668</v>
      </c>
      <c r="K13" s="158">
        <v>656757.32146666665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140</v>
      </c>
      <c r="S13" s="3">
        <v>272.66666666666663</v>
      </c>
      <c r="T13" s="151">
        <f t="shared" si="1"/>
        <v>0</v>
      </c>
      <c r="U13" s="140">
        <f>IF(T13&gt;'Model Costs and Assumptions'!$E$18,'Model Costs and Assumptions'!$D$18,IF('School Data'!T13&gt;'Model Costs and Assumptions'!$E$19,'Model Costs and Assumptions'!$D$19,IF('School Data'!T13&gt;'Model Costs and Assumptions'!$E$20,'Model Costs and Assumptions'!$D$20,1)*1)*1)</f>
        <v>1</v>
      </c>
      <c r="V13" s="152">
        <f>'High-Cost Enrollment'!S15</f>
        <v>0</v>
      </c>
      <c r="W13" s="152">
        <f>'High-Cost Enrollment'!T15</f>
        <v>0</v>
      </c>
      <c r="X13" s="152">
        <f>'High-Cost Enrollment'!U15</f>
        <v>0.24089024656338645</v>
      </c>
      <c r="Y13" s="152">
        <f>'ESS Index'!O15</f>
        <v>0.67636343804537513</v>
      </c>
      <c r="Z13" s="152">
        <f>Y13*0.55</f>
        <v>0.37199989092495633</v>
      </c>
      <c r="AA13" s="154">
        <v>20043427.096844908</v>
      </c>
      <c r="AB13" s="4">
        <v>18099184.977318428</v>
      </c>
      <c r="AC13" s="163" t="s">
        <v>140</v>
      </c>
      <c r="AE13" s="7"/>
      <c r="AF13" s="7"/>
      <c r="AI13" s="2"/>
    </row>
    <row r="14" spans="2:35">
      <c r="B14" s="33" t="s">
        <v>10</v>
      </c>
      <c r="C14" s="126">
        <v>2456.333333333333</v>
      </c>
      <c r="D14" s="126">
        <v>1480.3333333333333</v>
      </c>
      <c r="E14" s="126">
        <f t="shared" si="0"/>
        <v>3936.6666666666661</v>
      </c>
      <c r="F14" s="50">
        <f>'High-Cost Enrollment'!O16</f>
        <v>6.0213872712577457E-2</v>
      </c>
      <c r="G14" s="50">
        <f>'High-Cost Enrollment'!P16</f>
        <v>0</v>
      </c>
      <c r="H14" s="50">
        <f>'High-Cost Enrollment'!Q16</f>
        <v>0</v>
      </c>
      <c r="I14" t="s">
        <v>46</v>
      </c>
      <c r="J14" s="155">
        <v>867451.32000000007</v>
      </c>
      <c r="K14" s="155">
        <v>107868.67999999998</v>
      </c>
      <c r="L14" s="3">
        <v>1719</v>
      </c>
      <c r="M14" s="3">
        <v>63.666666666666664</v>
      </c>
      <c r="N14" s="3">
        <v>607.66666666666663</v>
      </c>
      <c r="O14" s="3">
        <v>499.66666666666663</v>
      </c>
      <c r="P14" s="3">
        <v>729.33333333333326</v>
      </c>
      <c r="Q14" s="3">
        <v>495.66666666666663</v>
      </c>
      <c r="R14" s="3">
        <v>161.33333333333331</v>
      </c>
      <c r="S14" s="3">
        <v>109.66666666666666</v>
      </c>
      <c r="T14" s="151">
        <f t="shared" si="1"/>
        <v>0.45080743655855615</v>
      </c>
      <c r="U14" s="140">
        <f>IF(T14&gt;'Model Costs and Assumptions'!$E$18,'Model Costs and Assumptions'!$D$18,IF('School Data'!T14&gt;'Model Costs and Assumptions'!$E$19,'Model Costs and Assumptions'!$D$19,IF('School Data'!T14&gt;'Model Costs and Assumptions'!$E$20,'Model Costs and Assumptions'!$D$20,1)*1)*1)</f>
        <v>1</v>
      </c>
      <c r="V14" s="152">
        <f>'High-Cost Enrollment'!S16</f>
        <v>2.5408655882103843E-3</v>
      </c>
      <c r="W14" s="152">
        <f>'High-Cost Enrollment'!T16</f>
        <v>0</v>
      </c>
      <c r="X14" s="152">
        <f>'High-Cost Enrollment'!U16</f>
        <v>0</v>
      </c>
      <c r="Y14" s="152">
        <f>'ESS Index'!O16</f>
        <v>0.51209991532599497</v>
      </c>
      <c r="Z14" s="152">
        <f t="shared" si="2"/>
        <v>0.51209991532599497</v>
      </c>
      <c r="AA14" s="154">
        <v>24934641.605156694</v>
      </c>
      <c r="AB14" s="4">
        <v>20616544.093751539</v>
      </c>
      <c r="AE14" s="7"/>
      <c r="AF14" s="7"/>
      <c r="AI14" s="2"/>
    </row>
    <row r="15" spans="2:35">
      <c r="B15" s="33" t="s">
        <v>11</v>
      </c>
      <c r="C15" s="126">
        <v>33640.333333333328</v>
      </c>
      <c r="D15" s="126">
        <v>19850.666666666664</v>
      </c>
      <c r="E15" s="126">
        <f t="shared" si="0"/>
        <v>53490.999999999993</v>
      </c>
      <c r="F15" s="50">
        <f>'High-Cost Enrollment'!O17</f>
        <v>0.22588169335942118</v>
      </c>
      <c r="G15" s="50">
        <f>'High-Cost Enrollment'!P17</f>
        <v>1.1609719011148571E-2</v>
      </c>
      <c r="H15" s="50">
        <f>'High-Cost Enrollment'!Q17</f>
        <v>0</v>
      </c>
      <c r="I15" t="s">
        <v>45</v>
      </c>
      <c r="J15" s="155">
        <v>11125543.2272</v>
      </c>
      <c r="K15" s="155">
        <v>4165105.7727999999</v>
      </c>
      <c r="L15" s="3">
        <v>12338.333333333334</v>
      </c>
      <c r="M15" s="3">
        <v>548</v>
      </c>
      <c r="N15" s="3">
        <v>3037</v>
      </c>
      <c r="O15" s="3">
        <v>4806.333333333333</v>
      </c>
      <c r="P15" s="3">
        <v>6842.333333333333</v>
      </c>
      <c r="Q15" s="3">
        <v>1297.3333333333333</v>
      </c>
      <c r="R15" s="3">
        <v>864.66666666666663</v>
      </c>
      <c r="S15" s="3">
        <v>1732</v>
      </c>
      <c r="T15" s="151">
        <f t="shared" si="1"/>
        <v>0.23315266396488346</v>
      </c>
      <c r="U15" s="140">
        <f>IF(T15&gt;'Model Costs and Assumptions'!$E$18,'Model Costs and Assumptions'!$D$18,IF('School Data'!T15&gt;'Model Costs and Assumptions'!$E$19,'Model Costs and Assumptions'!$D$19,IF('School Data'!T15&gt;'Model Costs and Assumptions'!$E$20,'Model Costs and Assumptions'!$D$20,1)*1)*1)</f>
        <v>1</v>
      </c>
      <c r="V15" s="152">
        <f>'High-Cost Enrollment'!S17</f>
        <v>3.0286223507344098E-2</v>
      </c>
      <c r="W15" s="152">
        <f>'High-Cost Enrollment'!T17</f>
        <v>1.7573487714137935E-3</v>
      </c>
      <c r="X15" s="152">
        <f>'High-Cost Enrollment'!U17</f>
        <v>0</v>
      </c>
      <c r="Y15" s="152">
        <f>'ESS Index'!O17</f>
        <v>0.65064714936469059</v>
      </c>
      <c r="Z15" s="152">
        <f t="shared" si="2"/>
        <v>0.65064714936469059</v>
      </c>
      <c r="AA15" s="4">
        <v>306168341.25615579</v>
      </c>
      <c r="AB15" s="4">
        <v>1903481106.955035</v>
      </c>
      <c r="AC15" t="s">
        <v>143</v>
      </c>
      <c r="AE15" s="7"/>
      <c r="AF15" s="7"/>
      <c r="AI15" s="2"/>
    </row>
    <row r="16" spans="2:35">
      <c r="B16" s="33" t="s">
        <v>127</v>
      </c>
      <c r="C16" s="126">
        <v>0</v>
      </c>
      <c r="D16" s="126">
        <v>148.66666666666666</v>
      </c>
      <c r="E16" s="126">
        <f t="shared" si="0"/>
        <v>148.66666666666666</v>
      </c>
      <c r="F16" s="50">
        <f>'High-Cost Enrollment'!O18</f>
        <v>0</v>
      </c>
      <c r="G16" s="50">
        <f>'High-Cost Enrollment'!P18</f>
        <v>0</v>
      </c>
      <c r="H16" s="50">
        <f>'High-Cost Enrollment'!Q18</f>
        <v>1</v>
      </c>
      <c r="I16" t="s">
        <v>45</v>
      </c>
      <c r="J16" s="155">
        <v>68445</v>
      </c>
      <c r="K16" s="155">
        <v>15770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7</v>
      </c>
      <c r="S16" s="3">
        <v>19</v>
      </c>
      <c r="T16" s="151">
        <f t="shared" si="1"/>
        <v>0</v>
      </c>
      <c r="U16" s="140">
        <f>IF(T16&gt;'Model Costs and Assumptions'!$E$18,'Model Costs and Assumptions'!$D$18,IF('School Data'!T16&gt;'Model Costs and Assumptions'!$E$19,'Model Costs and Assumptions'!$D$19,IF('School Data'!T16&gt;'Model Costs and Assumptions'!$E$20,'Model Costs and Assumptions'!$D$20,1)*1)*1)</f>
        <v>1</v>
      </c>
      <c r="V16" s="152">
        <f>'High-Cost Enrollment'!S18</f>
        <v>0</v>
      </c>
      <c r="W16" s="152">
        <f>'High-Cost Enrollment'!T18</f>
        <v>0</v>
      </c>
      <c r="X16" s="152">
        <f>'High-Cost Enrollment'!U18</f>
        <v>0.17567567567567569</v>
      </c>
      <c r="Y16" s="152">
        <f>'ESS Index'!O18</f>
        <v>0.85919282511210759</v>
      </c>
      <c r="Z16" s="152">
        <f>Y16*0.55</f>
        <v>0.47255605381165922</v>
      </c>
      <c r="AA16" s="4">
        <v>1930585.3333333333</v>
      </c>
      <c r="AB16" s="4">
        <v>5290314.0945950141</v>
      </c>
      <c r="AC16" s="163" t="s">
        <v>172</v>
      </c>
      <c r="AE16" s="7"/>
      <c r="AF16" s="7"/>
      <c r="AI16" s="2"/>
    </row>
    <row r="17" spans="2:35">
      <c r="B17" s="33" t="s">
        <v>12</v>
      </c>
      <c r="C17" s="126">
        <v>5398.6666666666661</v>
      </c>
      <c r="D17" s="126">
        <v>1971</v>
      </c>
      <c r="E17" s="126">
        <f t="shared" si="0"/>
        <v>7369.6666666666661</v>
      </c>
      <c r="F17" s="50">
        <f>'High-Cost Enrollment'!O19</f>
        <v>0.14567299240396775</v>
      </c>
      <c r="G17" s="50">
        <f>'High-Cost Enrollment'!P19</f>
        <v>4.6126712793379465E-3</v>
      </c>
      <c r="H17" s="50">
        <f>'High-Cost Enrollment'!Q19</f>
        <v>0</v>
      </c>
      <c r="I17" t="s">
        <v>46</v>
      </c>
      <c r="J17" s="155">
        <v>2053815.1</v>
      </c>
      <c r="K17" s="155">
        <v>345488.65</v>
      </c>
      <c r="L17" s="3">
        <v>3978.3333333333335</v>
      </c>
      <c r="M17" s="3">
        <v>197.33333333333334</v>
      </c>
      <c r="N17" s="3">
        <v>1921</v>
      </c>
      <c r="O17" s="3">
        <v>1941.6666666666665</v>
      </c>
      <c r="P17" s="3">
        <v>784.33333333333326</v>
      </c>
      <c r="Q17" s="3">
        <v>419</v>
      </c>
      <c r="R17" s="3">
        <v>135.33333333333331</v>
      </c>
      <c r="S17" s="3">
        <v>132</v>
      </c>
      <c r="T17" s="151">
        <f t="shared" si="1"/>
        <v>0.71548530501358365</v>
      </c>
      <c r="U17" s="140">
        <f>IF(T17&gt;'Model Costs and Assumptions'!$E$18,'Model Costs and Assumptions'!$D$18,IF('School Data'!T17&gt;'Model Costs and Assumptions'!$E$19,'Model Costs and Assumptions'!$D$19,IF('School Data'!T17&gt;'Model Costs and Assumptions'!$E$20,'Model Costs and Assumptions'!$D$20,1)*1)*1)</f>
        <v>1.3</v>
      </c>
      <c r="V17" s="152">
        <f>'High-Cost Enrollment'!S19</f>
        <v>4.0157373490706826E-2</v>
      </c>
      <c r="W17" s="152">
        <f>'High-Cost Enrollment'!T19</f>
        <v>4.0700040700040704E-4</v>
      </c>
      <c r="X17" s="152">
        <f>'High-Cost Enrollment'!U19</f>
        <v>0</v>
      </c>
      <c r="Y17" s="152">
        <f>'ESS Index'!O19</f>
        <v>0.45482382740060601</v>
      </c>
      <c r="Z17" s="152">
        <f t="shared" si="2"/>
        <v>0.45482382740060601</v>
      </c>
      <c r="AA17" s="4">
        <v>51250933.333333336</v>
      </c>
      <c r="AB17" s="4">
        <v>57331475</v>
      </c>
      <c r="AE17" s="7"/>
      <c r="AF17" s="7"/>
      <c r="AI17" s="2"/>
    </row>
    <row r="18" spans="2:35" ht="15.5">
      <c r="B18" s="34" t="s">
        <v>23</v>
      </c>
      <c r="C18" s="173">
        <f t="shared" ref="C18:E18" si="3">SUM(C3:C17)</f>
        <v>124137.66666666666</v>
      </c>
      <c r="D18" s="173">
        <f t="shared" si="3"/>
        <v>52852.999999999993</v>
      </c>
      <c r="E18" s="173">
        <f t="shared" si="3"/>
        <v>176990.66666666666</v>
      </c>
      <c r="F18" s="83">
        <f>'High-Cost Enrollment'!O20</f>
        <v>0.18672623979577846</v>
      </c>
      <c r="G18" s="83">
        <f>'High-Cost Enrollment'!P20</f>
        <v>2.2278052850343996E-2</v>
      </c>
      <c r="H18" s="83">
        <f>'High-Cost Enrollment'!Q20</f>
        <v>9.6389444997937758E-3</v>
      </c>
      <c r="I18" s="17"/>
      <c r="J18" s="129">
        <f>SUM(J3:J17)</f>
        <v>39137062.107323334</v>
      </c>
      <c r="K18" s="129">
        <f>SUM(K3:K17)</f>
        <v>11081303.7061</v>
      </c>
      <c r="L18" s="129">
        <f t="shared" ref="L18:Q18" si="4">SUM(L3:L17)</f>
        <v>71220.333333333328</v>
      </c>
      <c r="M18" s="129">
        <f t="shared" si="4"/>
        <v>3277</v>
      </c>
      <c r="N18" s="129">
        <f t="shared" si="4"/>
        <v>33908.333333333328</v>
      </c>
      <c r="O18" s="129">
        <f t="shared" si="4"/>
        <v>23272</v>
      </c>
      <c r="P18" s="129">
        <f t="shared" si="4"/>
        <v>25197.333333333328</v>
      </c>
      <c r="Q18" s="129">
        <f t="shared" si="4"/>
        <v>16918</v>
      </c>
      <c r="R18" s="129">
        <f>SUM(R3:R17)</f>
        <v>4572.666666666667</v>
      </c>
      <c r="S18" s="129">
        <f>SUM(S3:S17)</f>
        <v>5653.6666666666661</v>
      </c>
      <c r="T18" s="85">
        <f>(N18+O18)/C18</f>
        <v>0.46062033280256059</v>
      </c>
      <c r="U18" s="85"/>
      <c r="V18" s="153">
        <f>'High-Cost Enrollment'!S20</f>
        <v>3.2877501784466578E-2</v>
      </c>
      <c r="W18" s="153">
        <f>'High-Cost Enrollment'!T20</f>
        <v>4.5087208152610973E-3</v>
      </c>
      <c r="X18" s="153">
        <f>'High-Cost Enrollment'!U20</f>
        <v>2.5594618161820515E-3</v>
      </c>
      <c r="Y18" s="153">
        <f>'ESS Index'!O20</f>
        <v>0.50042177365284823</v>
      </c>
      <c r="Z18" s="153">
        <f t="shared" si="2"/>
        <v>0.50042177365284823</v>
      </c>
      <c r="AA18" s="31">
        <f>SUM(AA3:AA17)</f>
        <v>1129522579.9319725</v>
      </c>
      <c r="AB18" s="31">
        <v>2846406225.0000033</v>
      </c>
      <c r="AC18" s="17"/>
      <c r="AI18" s="2"/>
    </row>
    <row r="20" spans="2:35" ht="18">
      <c r="B20" s="133" t="s">
        <v>112</v>
      </c>
      <c r="C20" s="133" t="s">
        <v>111</v>
      </c>
      <c r="N20" s="139"/>
      <c r="O20" s="139"/>
      <c r="P20" s="139"/>
      <c r="Q20" s="139"/>
    </row>
    <row r="21" spans="2:35" ht="18">
      <c r="B21" t="s">
        <v>110</v>
      </c>
      <c r="C21" t="s">
        <v>118</v>
      </c>
      <c r="N21" s="139"/>
      <c r="O21" s="139"/>
      <c r="P21" s="139"/>
      <c r="Q21" s="139"/>
    </row>
    <row r="22" spans="2:35" ht="18">
      <c r="B22" t="s">
        <v>113</v>
      </c>
      <c r="C22" t="s">
        <v>119</v>
      </c>
      <c r="N22" s="139"/>
      <c r="O22" s="139"/>
      <c r="P22" s="139"/>
      <c r="Q22" s="139"/>
      <c r="R22" s="139"/>
      <c r="S22" s="139"/>
    </row>
    <row r="23" spans="2:35" ht="18">
      <c r="B23" t="s">
        <v>156</v>
      </c>
      <c r="C23" t="s">
        <v>118</v>
      </c>
      <c r="N23" s="139"/>
      <c r="O23" s="139"/>
      <c r="P23" s="139"/>
      <c r="Q23" s="139"/>
      <c r="R23" s="139"/>
      <c r="S23" s="139"/>
    </row>
    <row r="24" spans="2:35" ht="18">
      <c r="B24" t="s">
        <v>94</v>
      </c>
      <c r="C24" t="s">
        <v>114</v>
      </c>
      <c r="N24" s="139"/>
      <c r="O24" s="139"/>
      <c r="P24" s="139"/>
      <c r="Q24" s="139"/>
      <c r="R24" s="139"/>
      <c r="S24" s="139"/>
    </row>
    <row r="25" spans="2:35" ht="18">
      <c r="B25" t="s">
        <v>115</v>
      </c>
      <c r="C25" t="s">
        <v>116</v>
      </c>
      <c r="N25" s="139"/>
      <c r="O25" s="139"/>
      <c r="P25" s="139"/>
      <c r="Q25" s="139"/>
      <c r="R25" s="139"/>
      <c r="S25" s="139"/>
    </row>
    <row r="26" spans="2:35" ht="18" customHeight="1">
      <c r="B26" t="s">
        <v>117</v>
      </c>
      <c r="C26" s="219" t="s">
        <v>118</v>
      </c>
      <c r="D26" s="219"/>
      <c r="E26" s="219"/>
      <c r="N26" s="139"/>
      <c r="O26" s="139"/>
      <c r="P26" s="139"/>
      <c r="Q26" s="139"/>
      <c r="R26" s="139"/>
      <c r="S26" s="139"/>
    </row>
    <row r="27" spans="2:35" ht="18">
      <c r="B27" s="134" t="s">
        <v>18</v>
      </c>
      <c r="C27" s="219"/>
      <c r="D27" s="219"/>
      <c r="E27" s="219"/>
      <c r="N27" s="139"/>
      <c r="O27" s="139"/>
      <c r="P27" s="139"/>
      <c r="Q27" s="139"/>
      <c r="R27" s="139"/>
      <c r="S27" s="139"/>
    </row>
    <row r="28" spans="2:35" ht="18">
      <c r="B28" s="134" t="s">
        <v>81</v>
      </c>
      <c r="C28" s="219"/>
      <c r="D28" s="219"/>
      <c r="E28" s="219"/>
      <c r="N28" s="139"/>
      <c r="O28" s="139"/>
      <c r="P28" s="139"/>
      <c r="Q28" s="139"/>
      <c r="R28" s="139"/>
      <c r="S28" s="139"/>
    </row>
    <row r="29" spans="2:35" ht="18">
      <c r="B29" s="134" t="s">
        <v>86</v>
      </c>
      <c r="C29" s="219"/>
      <c r="D29" s="219"/>
      <c r="E29" s="219"/>
      <c r="N29" s="139"/>
      <c r="O29" s="139"/>
      <c r="P29" s="139"/>
      <c r="Q29" s="139"/>
      <c r="R29" s="139"/>
      <c r="S29" s="139"/>
    </row>
    <row r="30" spans="2:35" ht="18">
      <c r="B30" t="s">
        <v>170</v>
      </c>
      <c r="C30" t="s">
        <v>118</v>
      </c>
      <c r="N30" s="139"/>
      <c r="O30" s="139"/>
      <c r="P30" s="139"/>
      <c r="Q30" s="139"/>
      <c r="R30" s="139"/>
      <c r="S30" s="139"/>
    </row>
    <row r="31" spans="2:35" ht="18">
      <c r="B31" t="s">
        <v>58</v>
      </c>
      <c r="C31" t="s">
        <v>118</v>
      </c>
      <c r="R31" s="139"/>
      <c r="S31" s="139"/>
    </row>
    <row r="32" spans="2:35" ht="18">
      <c r="B32" t="s">
        <v>120</v>
      </c>
      <c r="C32" t="s">
        <v>171</v>
      </c>
      <c r="R32" s="139"/>
      <c r="S32" s="139"/>
    </row>
    <row r="33" spans="2:19" ht="18">
      <c r="B33" t="s">
        <v>169</v>
      </c>
      <c r="C33" t="s">
        <v>114</v>
      </c>
      <c r="R33" s="139"/>
      <c r="S33" s="139"/>
    </row>
    <row r="37" spans="2:19" ht="18">
      <c r="C37" s="139"/>
      <c r="D37" s="139"/>
      <c r="E37" s="139"/>
    </row>
    <row r="38" spans="2:19" ht="18">
      <c r="C38" s="139"/>
      <c r="D38" s="139"/>
      <c r="E38" s="139"/>
    </row>
    <row r="39" spans="2:19" ht="18">
      <c r="C39" s="139"/>
      <c r="D39" s="139"/>
      <c r="E39" s="139"/>
    </row>
    <row r="40" spans="2:19" ht="18">
      <c r="C40" s="139"/>
      <c r="D40" s="139"/>
      <c r="E40" s="139"/>
    </row>
    <row r="41" spans="2:19" ht="18">
      <c r="C41" s="139"/>
      <c r="D41" s="139"/>
      <c r="E41" s="139"/>
    </row>
    <row r="42" spans="2:19" ht="18">
      <c r="C42" s="139"/>
      <c r="D42" s="139"/>
      <c r="E42" s="139"/>
    </row>
    <row r="43" spans="2:19" ht="18">
      <c r="C43" s="139"/>
      <c r="D43" s="139"/>
      <c r="E43" s="139"/>
    </row>
    <row r="44" spans="2:19" ht="18">
      <c r="D44" s="139"/>
      <c r="E44" s="139"/>
    </row>
    <row r="45" spans="2:19" ht="18">
      <c r="C45" s="139"/>
      <c r="D45" s="139"/>
      <c r="E45" s="139"/>
    </row>
    <row r="46" spans="2:19" ht="18">
      <c r="C46" s="139"/>
      <c r="D46" s="139"/>
      <c r="E46" s="139"/>
    </row>
    <row r="47" spans="2:19" ht="18">
      <c r="D47" s="139"/>
      <c r="E47" s="139"/>
    </row>
    <row r="48" spans="2:19" ht="18">
      <c r="C48" s="139"/>
      <c r="D48" s="139"/>
      <c r="E48" s="139"/>
    </row>
    <row r="49" spans="3:5" ht="18">
      <c r="C49" s="139"/>
      <c r="D49" s="139"/>
      <c r="E49" s="139"/>
    </row>
    <row r="50" spans="3:5" ht="18">
      <c r="D50" s="139"/>
      <c r="E50" s="139"/>
    </row>
    <row r="51" spans="3:5" ht="18">
      <c r="C51" s="139"/>
      <c r="D51" s="139"/>
      <c r="E51" s="139"/>
    </row>
  </sheetData>
  <mergeCells count="9">
    <mergeCell ref="C26:E29"/>
    <mergeCell ref="V1:X1"/>
    <mergeCell ref="T1:U1"/>
    <mergeCell ref="C1:E1"/>
    <mergeCell ref="L1:M1"/>
    <mergeCell ref="N1:Q1"/>
    <mergeCell ref="R1:S1"/>
    <mergeCell ref="J1:K1"/>
    <mergeCell ref="F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64F16-C060-274B-AC77-C2A72ECBD13A}">
  <sheetPr codeName="Sheet8"/>
  <dimension ref="A1:G65"/>
  <sheetViews>
    <sheetView zoomScale="140" zoomScaleNormal="140" workbookViewId="0">
      <selection activeCell="H30" sqref="H30"/>
    </sheetView>
  </sheetViews>
  <sheetFormatPr defaultColWidth="10.90625" defaultRowHeight="14.5"/>
  <cols>
    <col min="2" max="2" width="21.6328125" bestFit="1" customWidth="1"/>
    <col min="3" max="3" width="12.81640625" bestFit="1" customWidth="1"/>
  </cols>
  <sheetData>
    <row r="1" spans="1:7">
      <c r="A1" s="71"/>
      <c r="B1" s="71"/>
      <c r="C1" s="71"/>
      <c r="D1" s="71"/>
      <c r="E1" s="71"/>
      <c r="F1" s="71"/>
      <c r="G1" s="71"/>
    </row>
    <row r="2" spans="1:7">
      <c r="A2" s="71"/>
      <c r="B2" s="97"/>
      <c r="C2" s="97"/>
      <c r="D2" s="97"/>
      <c r="E2" s="97"/>
      <c r="F2" s="71"/>
      <c r="G2" s="71"/>
    </row>
    <row r="3" spans="1:7">
      <c r="A3" s="71"/>
      <c r="B3" s="97" t="s">
        <v>87</v>
      </c>
      <c r="C3" s="97" t="s">
        <v>39</v>
      </c>
      <c r="D3" s="71"/>
      <c r="E3" s="71"/>
      <c r="F3" s="71"/>
      <c r="G3" s="71"/>
    </row>
    <row r="4" spans="1:7">
      <c r="A4" s="71"/>
      <c r="B4" s="71" t="s">
        <v>43</v>
      </c>
      <c r="C4" s="95">
        <v>3332.78</v>
      </c>
      <c r="D4" s="116"/>
      <c r="E4" s="116"/>
      <c r="F4" s="116"/>
      <c r="G4" s="71"/>
    </row>
    <row r="5" spans="1:7">
      <c r="A5" s="71"/>
      <c r="B5" s="71" t="s">
        <v>14</v>
      </c>
      <c r="C5" s="186">
        <v>9797.3371941068835</v>
      </c>
      <c r="D5" s="116"/>
      <c r="E5" s="116"/>
      <c r="F5" s="116"/>
      <c r="G5" s="71"/>
    </row>
    <row r="6" spans="1:7">
      <c r="A6" s="71"/>
      <c r="B6" s="71" t="s">
        <v>15</v>
      </c>
      <c r="C6" s="95">
        <v>800</v>
      </c>
      <c r="D6" s="116"/>
      <c r="E6" s="116"/>
      <c r="F6" s="116"/>
      <c r="G6" s="71"/>
    </row>
    <row r="7" spans="1:7">
      <c r="A7" s="71"/>
      <c r="B7" s="71" t="s">
        <v>36</v>
      </c>
      <c r="C7" s="95">
        <v>1941.27</v>
      </c>
      <c r="D7" s="116"/>
      <c r="E7" s="116"/>
      <c r="F7" s="116"/>
      <c r="G7" s="71"/>
    </row>
    <row r="8" spans="1:7">
      <c r="A8" s="71"/>
      <c r="B8" s="71" t="s">
        <v>88</v>
      </c>
      <c r="C8" s="94">
        <v>5.12</v>
      </c>
      <c r="D8" s="116"/>
      <c r="E8" s="116"/>
      <c r="F8" s="116"/>
      <c r="G8" s="71"/>
    </row>
    <row r="9" spans="1:7">
      <c r="A9" s="71"/>
      <c r="B9" s="71" t="s">
        <v>89</v>
      </c>
      <c r="C9" s="94">
        <v>2.66</v>
      </c>
      <c r="D9" s="116"/>
      <c r="E9" s="116"/>
      <c r="F9" s="116"/>
      <c r="G9" s="71"/>
    </row>
    <row r="10" spans="1:7">
      <c r="A10" s="71"/>
      <c r="B10" s="71"/>
      <c r="C10" s="71"/>
      <c r="D10" s="116"/>
      <c r="E10" s="116"/>
      <c r="F10" s="116"/>
      <c r="G10" s="71"/>
    </row>
    <row r="11" spans="1:7">
      <c r="A11" s="71"/>
      <c r="B11" s="97" t="s">
        <v>90</v>
      </c>
      <c r="C11" s="97" t="s">
        <v>106</v>
      </c>
      <c r="D11" s="132" t="s">
        <v>107</v>
      </c>
      <c r="E11" s="132" t="s">
        <v>99</v>
      </c>
      <c r="F11" s="116"/>
      <c r="G11" s="71"/>
    </row>
    <row r="12" spans="1:7">
      <c r="A12" s="71"/>
      <c r="B12" s="71" t="s">
        <v>18</v>
      </c>
      <c r="C12" s="71" t="s">
        <v>20</v>
      </c>
      <c r="D12" s="95">
        <v>1000</v>
      </c>
      <c r="E12" s="116"/>
      <c r="F12" s="116"/>
      <c r="G12" s="71"/>
    </row>
    <row r="13" spans="1:7">
      <c r="A13" s="71"/>
      <c r="B13" s="71"/>
      <c r="C13" s="71" t="s">
        <v>21</v>
      </c>
      <c r="D13" s="95">
        <v>500</v>
      </c>
      <c r="E13" s="116"/>
      <c r="F13" s="116"/>
      <c r="G13" s="71"/>
    </row>
    <row r="14" spans="1:7">
      <c r="A14" s="71"/>
      <c r="B14" s="71" t="s">
        <v>81</v>
      </c>
      <c r="C14" s="71" t="s">
        <v>24</v>
      </c>
      <c r="D14" s="95">
        <v>8000</v>
      </c>
      <c r="E14" s="116"/>
      <c r="F14" s="116"/>
      <c r="G14" s="71"/>
    </row>
    <row r="15" spans="1:7">
      <c r="A15" s="71"/>
      <c r="B15" s="71"/>
      <c r="C15" s="71" t="s">
        <v>19</v>
      </c>
      <c r="D15" s="95">
        <v>6000</v>
      </c>
      <c r="E15" s="71"/>
      <c r="F15" s="71"/>
      <c r="G15" s="71"/>
    </row>
    <row r="16" spans="1:7">
      <c r="A16" s="71"/>
      <c r="B16" s="71"/>
      <c r="C16" s="71" t="s">
        <v>20</v>
      </c>
      <c r="D16" s="95">
        <v>4000</v>
      </c>
      <c r="E16" s="71"/>
      <c r="F16" s="71"/>
      <c r="G16" s="71"/>
    </row>
    <row r="17" spans="1:7">
      <c r="A17" s="71"/>
      <c r="B17" s="71"/>
      <c r="C17" s="71" t="s">
        <v>21</v>
      </c>
      <c r="D17" s="95">
        <v>2000</v>
      </c>
      <c r="E17" s="71"/>
      <c r="F17" s="71"/>
      <c r="G17" s="71"/>
    </row>
    <row r="18" spans="1:7">
      <c r="A18" s="71"/>
      <c r="B18" s="71" t="s">
        <v>57</v>
      </c>
      <c r="C18" s="71" t="s">
        <v>19</v>
      </c>
      <c r="D18" s="119">
        <v>1.5</v>
      </c>
      <c r="E18" s="113">
        <v>0.75</v>
      </c>
      <c r="F18" s="71"/>
      <c r="G18" s="71"/>
    </row>
    <row r="19" spans="1:7">
      <c r="A19" s="71"/>
      <c r="B19" s="71"/>
      <c r="C19" s="71" t="s">
        <v>20</v>
      </c>
      <c r="D19" s="119">
        <v>1.3</v>
      </c>
      <c r="E19" s="113">
        <v>0.6</v>
      </c>
      <c r="F19" s="71"/>
      <c r="G19" s="71"/>
    </row>
    <row r="20" spans="1:7">
      <c r="A20" s="71"/>
      <c r="B20" s="71"/>
      <c r="C20" s="71" t="s">
        <v>21</v>
      </c>
      <c r="D20" s="119">
        <v>1.1000000000000001</v>
      </c>
      <c r="E20" s="113">
        <v>0.5</v>
      </c>
      <c r="F20" s="71"/>
      <c r="G20" s="71"/>
    </row>
    <row r="21" spans="1:7">
      <c r="A21" s="71"/>
      <c r="B21" s="71" t="s">
        <v>14</v>
      </c>
      <c r="C21" s="71" t="s">
        <v>53</v>
      </c>
      <c r="D21" s="113">
        <v>0.2</v>
      </c>
      <c r="E21" s="71"/>
      <c r="F21" s="71"/>
      <c r="G21" s="71"/>
    </row>
    <row r="22" spans="1:7">
      <c r="A22" s="71"/>
      <c r="C22" s="71" t="s">
        <v>124</v>
      </c>
      <c r="D22" s="113">
        <v>1</v>
      </c>
      <c r="E22" s="71"/>
      <c r="F22" s="71"/>
      <c r="G22" s="71"/>
    </row>
    <row r="23" spans="1:7">
      <c r="A23" s="71"/>
      <c r="C23" s="71" t="s">
        <v>125</v>
      </c>
      <c r="D23" s="141">
        <v>11</v>
      </c>
      <c r="E23" s="71"/>
      <c r="F23" s="71"/>
      <c r="G23" s="71"/>
    </row>
    <row r="24" spans="1:7">
      <c r="A24" s="71"/>
      <c r="B24" s="71" t="s">
        <v>95</v>
      </c>
      <c r="C24" s="71" t="s">
        <v>53</v>
      </c>
      <c r="D24" s="113">
        <v>0.44759346393004673</v>
      </c>
      <c r="E24" s="71"/>
      <c r="F24" s="71"/>
      <c r="G24" s="71"/>
    </row>
    <row r="25" spans="1:7">
      <c r="A25" s="71"/>
      <c r="B25" s="71"/>
      <c r="C25" s="71" t="s">
        <v>124</v>
      </c>
      <c r="D25" s="113">
        <v>0.68595103388614254</v>
      </c>
      <c r="E25" s="71"/>
      <c r="F25" s="71"/>
      <c r="G25" s="71"/>
    </row>
    <row r="26" spans="1:7">
      <c r="A26" s="71"/>
      <c r="B26" s="71"/>
      <c r="C26" s="71" t="s">
        <v>125</v>
      </c>
      <c r="D26" s="141">
        <v>0.18325968412424554</v>
      </c>
      <c r="E26" s="71"/>
      <c r="F26" s="71"/>
      <c r="G26" s="71"/>
    </row>
    <row r="27" spans="1:7">
      <c r="A27" s="71"/>
      <c r="B27" s="71" t="s">
        <v>15</v>
      </c>
      <c r="C27" s="71" t="s">
        <v>48</v>
      </c>
      <c r="D27" s="95">
        <v>500</v>
      </c>
      <c r="E27" s="71"/>
      <c r="F27" s="71"/>
      <c r="G27" s="71"/>
    </row>
    <row r="28" spans="1:7">
      <c r="A28" s="71"/>
      <c r="B28" s="71"/>
      <c r="C28" s="71" t="s">
        <v>47</v>
      </c>
      <c r="D28" s="95">
        <v>700</v>
      </c>
      <c r="E28" s="71"/>
      <c r="F28" s="71"/>
      <c r="G28" s="71"/>
    </row>
    <row r="29" spans="1:7">
      <c r="A29" s="71"/>
      <c r="B29" s="71"/>
      <c r="C29" s="71" t="s">
        <v>45</v>
      </c>
      <c r="D29" s="95">
        <v>1200</v>
      </c>
      <c r="E29" s="71"/>
      <c r="F29" s="71"/>
      <c r="G29" s="71"/>
    </row>
    <row r="30" spans="1:7">
      <c r="A30" s="71"/>
      <c r="B30" s="71" t="s">
        <v>63</v>
      </c>
      <c r="C30" s="71"/>
      <c r="D30" s="118" t="s">
        <v>92</v>
      </c>
      <c r="E30" s="138">
        <v>20000</v>
      </c>
      <c r="F30" s="71"/>
      <c r="G30" s="71"/>
    </row>
    <row r="31" spans="1:7">
      <c r="A31" s="71"/>
      <c r="B31" s="71" t="s">
        <v>77</v>
      </c>
      <c r="C31" s="71" t="s">
        <v>91</v>
      </c>
      <c r="D31" s="131">
        <v>1.54</v>
      </c>
      <c r="E31" s="71"/>
      <c r="F31" s="71"/>
      <c r="G31" s="71"/>
    </row>
    <row r="32" spans="1:7">
      <c r="A32" s="71"/>
      <c r="B32" s="71"/>
      <c r="C32" s="71"/>
      <c r="D32" s="116"/>
      <c r="E32" s="71"/>
      <c r="F32" s="71"/>
      <c r="G32" s="71"/>
    </row>
    <row r="33" spans="1:7">
      <c r="A33" s="71"/>
      <c r="B33" s="97" t="s">
        <v>49</v>
      </c>
      <c r="C33" s="71"/>
      <c r="D33" s="116"/>
      <c r="E33" s="71"/>
      <c r="F33" s="71"/>
      <c r="G33" s="71"/>
    </row>
    <row r="34" spans="1:7">
      <c r="A34" s="71"/>
      <c r="B34" s="71" t="s">
        <v>101</v>
      </c>
      <c r="C34" s="71"/>
      <c r="D34" s="120">
        <v>4.2000000000000003E-2</v>
      </c>
      <c r="E34" s="71"/>
      <c r="F34" s="71"/>
      <c r="G34" s="71"/>
    </row>
    <row r="35" spans="1:7">
      <c r="A35" s="71"/>
      <c r="B35" s="71"/>
      <c r="C35" s="71"/>
      <c r="D35" s="71"/>
      <c r="E35" s="71"/>
      <c r="F35" s="71"/>
      <c r="G35" s="71"/>
    </row>
    <row r="36" spans="1:7">
      <c r="A36" s="71"/>
      <c r="B36" s="71"/>
      <c r="C36" s="71"/>
      <c r="D36" s="71"/>
      <c r="E36" s="71"/>
      <c r="F36" s="71"/>
      <c r="G36" s="71"/>
    </row>
    <row r="37" spans="1:7">
      <c r="A37" s="71"/>
      <c r="B37" s="71"/>
      <c r="C37" s="71"/>
      <c r="D37" s="71"/>
      <c r="E37" s="71"/>
      <c r="F37" s="71"/>
      <c r="G37" s="71"/>
    </row>
    <row r="38" spans="1:7">
      <c r="A38" s="71"/>
      <c r="B38" s="71"/>
      <c r="C38" s="96"/>
      <c r="D38" s="71"/>
      <c r="E38" s="71"/>
      <c r="F38" s="71"/>
      <c r="G38" s="71"/>
    </row>
    <row r="39" spans="1:7">
      <c r="A39" s="71"/>
      <c r="B39" s="71"/>
      <c r="C39" s="96"/>
      <c r="D39" s="71"/>
      <c r="E39" s="71"/>
      <c r="F39" s="71"/>
      <c r="G39" s="71"/>
    </row>
    <row r="40" spans="1:7">
      <c r="A40" s="71"/>
      <c r="B40" s="71"/>
      <c r="C40" s="96"/>
      <c r="D40" s="71"/>
      <c r="E40" s="71"/>
      <c r="F40" s="71"/>
      <c r="G40" s="71"/>
    </row>
    <row r="41" spans="1:7">
      <c r="A41" s="71"/>
      <c r="B41" s="71"/>
      <c r="C41" s="96"/>
      <c r="D41" s="71"/>
      <c r="E41" s="71"/>
      <c r="F41" s="71"/>
      <c r="G41" s="71"/>
    </row>
    <row r="42" spans="1:7">
      <c r="A42" s="71"/>
      <c r="B42" s="71"/>
      <c r="C42" s="96"/>
      <c r="D42" s="71"/>
      <c r="E42" s="117"/>
      <c r="F42" s="117"/>
      <c r="G42" s="117"/>
    </row>
    <row r="43" spans="1:7">
      <c r="A43" s="71"/>
      <c r="B43" s="71"/>
      <c r="C43" s="96"/>
      <c r="D43" s="71"/>
      <c r="E43" s="117"/>
      <c r="F43" s="117"/>
      <c r="G43" s="117"/>
    </row>
    <row r="44" spans="1:7">
      <c r="A44" s="71"/>
      <c r="B44" s="71"/>
      <c r="C44" s="96"/>
      <c r="D44" s="71"/>
      <c r="E44" s="71"/>
      <c r="F44" s="71"/>
      <c r="G44" s="71"/>
    </row>
    <row r="45" spans="1:7">
      <c r="A45" s="71"/>
      <c r="B45" s="71"/>
      <c r="C45" s="96"/>
      <c r="D45" s="71"/>
      <c r="E45" s="71"/>
      <c r="F45" s="71"/>
      <c r="G45" s="71"/>
    </row>
    <row r="46" spans="1:7">
      <c r="A46" s="71"/>
      <c r="B46" s="71"/>
      <c r="C46" s="96"/>
      <c r="D46" s="71"/>
      <c r="E46" s="71"/>
      <c r="F46" s="71"/>
      <c r="G46" s="71"/>
    </row>
    <row r="47" spans="1:7">
      <c r="A47" s="71"/>
      <c r="B47" s="71"/>
      <c r="C47" s="96"/>
      <c r="D47" s="71"/>
      <c r="E47" s="71"/>
      <c r="F47" s="71"/>
      <c r="G47" s="71"/>
    </row>
    <row r="48" spans="1:7">
      <c r="A48" s="71"/>
      <c r="B48" s="71"/>
      <c r="C48" s="96"/>
      <c r="D48" s="71"/>
      <c r="E48" s="71"/>
      <c r="F48" s="71"/>
      <c r="G48" s="71"/>
    </row>
    <row r="49" spans="1:7">
      <c r="A49" s="71"/>
      <c r="B49" s="71"/>
      <c r="C49" s="96"/>
      <c r="D49" s="71"/>
      <c r="E49" s="71"/>
      <c r="F49" s="71"/>
      <c r="G49" s="71"/>
    </row>
    <row r="50" spans="1:7">
      <c r="A50" s="71"/>
      <c r="B50" s="71"/>
      <c r="C50" s="96"/>
      <c r="D50" s="71"/>
      <c r="E50" s="71"/>
      <c r="F50" s="71"/>
      <c r="G50" s="71"/>
    </row>
    <row r="51" spans="1:7">
      <c r="A51" s="71"/>
      <c r="B51" s="71"/>
      <c r="C51" s="71"/>
      <c r="D51" s="71"/>
      <c r="E51" s="71"/>
      <c r="F51" s="71"/>
      <c r="G51" s="71"/>
    </row>
    <row r="52" spans="1:7">
      <c r="A52" s="71"/>
      <c r="B52" s="71"/>
      <c r="C52" s="71"/>
      <c r="D52" s="71"/>
      <c r="E52" s="71"/>
      <c r="F52" s="71"/>
      <c r="G52" s="71"/>
    </row>
    <row r="53" spans="1:7">
      <c r="A53" s="71"/>
      <c r="B53" s="71"/>
      <c r="C53" s="96"/>
      <c r="D53" s="71"/>
      <c r="E53" s="71"/>
      <c r="F53" s="71"/>
      <c r="G53" s="71"/>
    </row>
    <row r="54" spans="1:7">
      <c r="A54" s="71"/>
      <c r="B54" s="71"/>
      <c r="C54" s="96"/>
      <c r="D54" s="71"/>
      <c r="E54" s="71"/>
      <c r="F54" s="71"/>
      <c r="G54" s="71"/>
    </row>
    <row r="55" spans="1:7">
      <c r="A55" s="71"/>
      <c r="B55" s="71"/>
      <c r="C55" s="96"/>
      <c r="D55" s="71"/>
      <c r="E55" s="71"/>
      <c r="F55" s="71"/>
      <c r="G55" s="71"/>
    </row>
    <row r="56" spans="1:7">
      <c r="A56" s="71"/>
      <c r="B56" s="71"/>
      <c r="C56" s="96"/>
      <c r="D56" s="71"/>
      <c r="E56" s="71"/>
      <c r="F56" s="71"/>
      <c r="G56" s="71"/>
    </row>
    <row r="57" spans="1:7">
      <c r="A57" s="71"/>
      <c r="B57" s="71"/>
      <c r="C57" s="96"/>
      <c r="D57" s="71"/>
      <c r="E57" s="71"/>
      <c r="F57" s="71"/>
      <c r="G57" s="71"/>
    </row>
    <row r="58" spans="1:7">
      <c r="A58" s="71"/>
      <c r="B58" s="71"/>
      <c r="C58" s="96"/>
      <c r="D58" s="71"/>
      <c r="E58" s="71"/>
      <c r="F58" s="71"/>
      <c r="G58" s="71"/>
    </row>
    <row r="59" spans="1:7">
      <c r="A59" s="71"/>
      <c r="B59" s="71"/>
      <c r="C59" s="96"/>
      <c r="D59" s="71"/>
      <c r="E59" s="71"/>
      <c r="F59" s="71"/>
      <c r="G59" s="71"/>
    </row>
    <row r="60" spans="1:7">
      <c r="A60" s="71"/>
      <c r="B60" s="71"/>
      <c r="C60" s="96"/>
      <c r="D60" s="71"/>
      <c r="E60" s="71"/>
      <c r="F60" s="71"/>
      <c r="G60" s="71"/>
    </row>
    <row r="61" spans="1:7">
      <c r="A61" s="71"/>
      <c r="B61" s="71"/>
      <c r="C61" s="96"/>
      <c r="D61" s="71"/>
      <c r="E61" s="71"/>
      <c r="F61" s="71"/>
      <c r="G61" s="71"/>
    </row>
    <row r="62" spans="1:7">
      <c r="A62" s="71"/>
      <c r="B62" s="71"/>
      <c r="C62" s="96"/>
      <c r="D62" s="71"/>
      <c r="E62" s="71"/>
      <c r="F62" s="71"/>
      <c r="G62" s="71"/>
    </row>
    <row r="63" spans="1:7">
      <c r="A63" s="71"/>
      <c r="B63" s="71"/>
      <c r="C63" s="96"/>
      <c r="D63" s="71"/>
      <c r="E63" s="71"/>
      <c r="F63" s="71"/>
      <c r="G63" s="71"/>
    </row>
    <row r="64" spans="1:7">
      <c r="A64" s="71"/>
      <c r="B64" s="71"/>
      <c r="C64" s="96"/>
      <c r="D64" s="71"/>
      <c r="E64" s="71"/>
      <c r="F64" s="71"/>
      <c r="G64" s="71"/>
    </row>
    <row r="65" spans="1:7">
      <c r="A65" s="71"/>
      <c r="B65" s="71"/>
      <c r="C65" s="96"/>
      <c r="D65" s="71"/>
      <c r="E65" s="71"/>
      <c r="F65" s="71"/>
      <c r="G65" s="7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7B2A-E2EF-0343-80BC-181AC2F95D1E}">
  <sheetPr codeName="Sheet11"/>
  <dimension ref="A1:Q33"/>
  <sheetViews>
    <sheetView zoomScaleNormal="100" workbookViewId="0">
      <selection activeCell="F30" sqref="F30"/>
    </sheetView>
  </sheetViews>
  <sheetFormatPr defaultColWidth="8.81640625" defaultRowHeight="14.5"/>
  <cols>
    <col min="1" max="1" width="41.81640625" customWidth="1"/>
    <col min="2" max="2" width="11.1796875" customWidth="1"/>
    <col min="3" max="3" width="10.36328125" customWidth="1"/>
    <col min="16" max="16" width="20.1796875" bestFit="1" customWidth="1"/>
  </cols>
  <sheetData>
    <row r="1" spans="1:17" ht="15.5">
      <c r="A1" s="44" t="s">
        <v>174</v>
      </c>
    </row>
    <row r="3" spans="1:17" ht="18.5">
      <c r="B3" s="222" t="s">
        <v>159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1:17" ht="18">
      <c r="B4" s="178">
        <v>0.05</v>
      </c>
      <c r="C4" s="178">
        <v>0.1</v>
      </c>
      <c r="D4" s="178">
        <v>0.25</v>
      </c>
      <c r="E4" s="178">
        <v>0.3</v>
      </c>
      <c r="F4" s="178">
        <v>0.3</v>
      </c>
      <c r="G4" s="178">
        <v>0.35</v>
      </c>
      <c r="H4" s="178">
        <v>0.4</v>
      </c>
      <c r="I4" s="178">
        <v>0.55000000000000004</v>
      </c>
      <c r="J4" s="178">
        <v>0.65</v>
      </c>
      <c r="K4" s="178">
        <v>0.75</v>
      </c>
      <c r="L4" s="178">
        <v>0.8</v>
      </c>
      <c r="M4" s="178">
        <v>0.9</v>
      </c>
      <c r="N4" s="178">
        <v>1</v>
      </c>
      <c r="O4" s="179" t="s">
        <v>58</v>
      </c>
    </row>
    <row r="5" spans="1:17" ht="15.5">
      <c r="A5" s="122" t="s">
        <v>1</v>
      </c>
      <c r="B5" s="175">
        <v>4.9389806173725778E-2</v>
      </c>
      <c r="C5" s="175">
        <v>3.015075376884423E-2</v>
      </c>
      <c r="D5" s="175">
        <v>6.6044508255563544E-2</v>
      </c>
      <c r="E5" s="175">
        <v>1.0050251256281409E-2</v>
      </c>
      <c r="F5" s="175">
        <v>1.0050251256281408E-3</v>
      </c>
      <c r="G5" s="175">
        <v>3.8621679827709983E-2</v>
      </c>
      <c r="H5" s="175">
        <v>9.3323761665470226E-3</v>
      </c>
      <c r="I5" s="175">
        <v>2.8715003589375456E-4</v>
      </c>
      <c r="J5" s="175">
        <v>1.1916726489590813E-2</v>
      </c>
      <c r="K5" s="175">
        <v>0.23330940416367557</v>
      </c>
      <c r="L5" s="175">
        <v>3.0150753768844228E-3</v>
      </c>
      <c r="M5" s="175">
        <v>6.7049533381191684E-2</v>
      </c>
      <c r="N5" s="175">
        <v>0.47982770997846386</v>
      </c>
      <c r="O5" s="176">
        <f>1-SUMPRODUCT(B5:N5,$B$4:$N$4)</f>
        <v>0.23196697774587205</v>
      </c>
      <c r="Q5" s="58"/>
    </row>
    <row r="6" spans="1:17" ht="15.5">
      <c r="A6" s="33" t="s">
        <v>2</v>
      </c>
      <c r="B6" s="175">
        <v>8.7075402250499534E-2</v>
      </c>
      <c r="C6" s="175">
        <v>4.9216531706804081E-2</v>
      </c>
      <c r="D6" s="175">
        <v>0.14638763276895572</v>
      </c>
      <c r="E6" s="175">
        <v>6.3098117572825746E-3</v>
      </c>
      <c r="F6" s="175">
        <v>0.11930802397728467</v>
      </c>
      <c r="G6" s="175">
        <v>2.5186665264486277E-2</v>
      </c>
      <c r="H6" s="175">
        <v>7.8662319907456091E-2</v>
      </c>
      <c r="I6" s="175">
        <v>3.7648543485119361E-2</v>
      </c>
      <c r="J6" s="175">
        <v>1.1410242927752655E-2</v>
      </c>
      <c r="K6" s="175">
        <v>2.4082448206961826E-2</v>
      </c>
      <c r="L6" s="175">
        <v>3.7070144074035125E-2</v>
      </c>
      <c r="M6" s="175">
        <v>0.15374907981911873</v>
      </c>
      <c r="N6" s="175">
        <v>0.22389315385424335</v>
      </c>
      <c r="O6" s="176">
        <f t="shared" ref="O6:O20" si="0">1-SUMPRODUCT(B6:N6,$B$4:$N$4)</f>
        <v>0.43805342307287831</v>
      </c>
      <c r="Q6" s="58"/>
    </row>
    <row r="7" spans="1:17" ht="15.5">
      <c r="A7" s="33" t="s">
        <v>3</v>
      </c>
      <c r="B7" s="175">
        <v>7.6388364185870805E-2</v>
      </c>
      <c r="C7" s="175">
        <v>1.0729127313940311E-2</v>
      </c>
      <c r="D7" s="175">
        <v>0.13298073290517567</v>
      </c>
      <c r="E7" s="175">
        <v>5.4401208915753688E-3</v>
      </c>
      <c r="F7" s="175">
        <v>6.4223649414431441E-2</v>
      </c>
      <c r="G7" s="175">
        <v>9.8979977332829625E-3</v>
      </c>
      <c r="H7" s="175">
        <v>7.7068379297317727E-3</v>
      </c>
      <c r="I7" s="175">
        <v>4.5107669059312433E-2</v>
      </c>
      <c r="J7" s="175">
        <v>9.0668681526256153E-4</v>
      </c>
      <c r="K7" s="175">
        <v>0.15655459010200229</v>
      </c>
      <c r="L7" s="175">
        <v>6.497922176048357E-3</v>
      </c>
      <c r="M7" s="175">
        <v>0.12716282584057426</v>
      </c>
      <c r="N7" s="175">
        <v>0.35640347563279184</v>
      </c>
      <c r="O7" s="176">
        <f t="shared" si="0"/>
        <v>0.31555345674348312</v>
      </c>
      <c r="Q7" s="58"/>
    </row>
    <row r="8" spans="1:17" ht="15.5">
      <c r="A8" s="33" t="s">
        <v>4</v>
      </c>
      <c r="B8" s="175">
        <v>3.29003198642209E-2</v>
      </c>
      <c r="C8" s="175">
        <v>2.2798485540831644E-2</v>
      </c>
      <c r="D8" s="175">
        <v>7.1153469547620585E-2</v>
      </c>
      <c r="E8" s="175">
        <v>3.851426333311573E-3</v>
      </c>
      <c r="F8" s="175">
        <v>0.43238788432665309</v>
      </c>
      <c r="G8" s="175">
        <v>1.3267837326196226E-2</v>
      </c>
      <c r="H8" s="175">
        <v>1.760885175272537E-2</v>
      </c>
      <c r="I8" s="175">
        <v>1.2468176773940855E-2</v>
      </c>
      <c r="J8" s="177"/>
      <c r="K8" s="175">
        <v>1.726614008747307E-2</v>
      </c>
      <c r="L8" s="175">
        <v>8.3784842352633976E-2</v>
      </c>
      <c r="M8" s="175">
        <v>0.13757425419413799</v>
      </c>
      <c r="N8" s="175">
        <v>0.15493831190025456</v>
      </c>
      <c r="O8" s="176">
        <f t="shared" si="0"/>
        <v>0.47013757425419422</v>
      </c>
      <c r="Q8" s="58"/>
    </row>
    <row r="9" spans="1:17" ht="15.5">
      <c r="A9" s="33" t="s">
        <v>5</v>
      </c>
      <c r="B9" s="175">
        <v>1.4135068431680499E-2</v>
      </c>
      <c r="C9" s="175">
        <v>1.1554857527484851E-2</v>
      </c>
      <c r="D9" s="175">
        <v>0.1235135741530177</v>
      </c>
      <c r="E9" s="175">
        <v>3.3094009423378945E-3</v>
      </c>
      <c r="F9" s="175">
        <v>4.773390172761946E-2</v>
      </c>
      <c r="G9" s="175">
        <v>1.4135068431680499E-2</v>
      </c>
      <c r="H9" s="175">
        <v>2.0024680278214042E-2</v>
      </c>
      <c r="I9" s="175">
        <v>4.8631366389948388E-2</v>
      </c>
      <c r="J9" s="175">
        <v>1.1218308279111506E-2</v>
      </c>
      <c r="K9" s="175">
        <v>8.6156607583576378E-2</v>
      </c>
      <c r="L9" s="175">
        <v>4.9136190262508407E-2</v>
      </c>
      <c r="M9" s="175">
        <v>0.12794480592326674</v>
      </c>
      <c r="N9" s="175">
        <v>0.4425061700695534</v>
      </c>
      <c r="O9" s="176">
        <f t="shared" si="0"/>
        <v>0.24336717522997553</v>
      </c>
      <c r="Q9" s="58"/>
    </row>
    <row r="10" spans="1:17" ht="15.5">
      <c r="A10" s="33" t="s">
        <v>6</v>
      </c>
      <c r="B10" s="175">
        <v>6.496100237559653E-2</v>
      </c>
      <c r="C10" s="175">
        <v>2.684634305295688E-2</v>
      </c>
      <c r="D10" s="175">
        <v>0.13780562154434797</v>
      </c>
      <c r="E10" s="175">
        <v>6.4540542813294934E-3</v>
      </c>
      <c r="F10" s="175">
        <v>0.1641053671663128</v>
      </c>
      <c r="G10" s="175">
        <v>1.6460991864107471E-2</v>
      </c>
      <c r="H10" s="175">
        <v>3.6327706182857862E-2</v>
      </c>
      <c r="I10" s="175">
        <v>3.2985052662560181E-2</v>
      </c>
      <c r="J10" s="175">
        <v>6.0966636533731371E-4</v>
      </c>
      <c r="K10" s="175">
        <v>4.6818172262282673E-2</v>
      </c>
      <c r="L10" s="175">
        <v>7.3244055752937964E-2</v>
      </c>
      <c r="M10" s="175">
        <v>0.11804402211617297</v>
      </c>
      <c r="N10" s="175">
        <v>0.27533794437319986</v>
      </c>
      <c r="O10" s="176">
        <f t="shared" si="0"/>
        <v>0.39433115395126883</v>
      </c>
      <c r="Q10" s="58"/>
    </row>
    <row r="11" spans="1:17" ht="15.5">
      <c r="A11" s="33" t="s">
        <v>7</v>
      </c>
      <c r="B11" s="175">
        <v>0.10631842352205192</v>
      </c>
      <c r="C11" s="175">
        <v>9.361901782921489E-2</v>
      </c>
      <c r="D11" s="175">
        <v>9.8967782295902404E-2</v>
      </c>
      <c r="E11" s="175">
        <v>1.4169533938066938E-2</v>
      </c>
      <c r="F11" s="175">
        <v>0.21226149515170473</v>
      </c>
      <c r="G11" s="175">
        <v>6.1964341570222077E-2</v>
      </c>
      <c r="H11" s="175">
        <v>1.5608382858930247E-2</v>
      </c>
      <c r="I11" s="175">
        <v>4.3196746950265874E-2</v>
      </c>
      <c r="J11" s="175">
        <v>9.3837973099781055E-5</v>
      </c>
      <c r="K11" s="175">
        <v>2.9527682202064434E-2</v>
      </c>
      <c r="L11" s="175">
        <v>5.5051610885204884E-3</v>
      </c>
      <c r="M11" s="175">
        <v>0.15073506412261495</v>
      </c>
      <c r="N11" s="175">
        <v>0.16803253049734126</v>
      </c>
      <c r="O11" s="176">
        <f t="shared" si="0"/>
        <v>0.51065686581169845</v>
      </c>
      <c r="Q11" s="58"/>
    </row>
    <row r="12" spans="1:17" ht="15.5">
      <c r="A12" s="33" t="s">
        <v>121</v>
      </c>
      <c r="B12" s="175">
        <v>4.6014790468364833E-2</v>
      </c>
      <c r="C12" s="177"/>
      <c r="D12" s="175">
        <v>0.78718159408381272</v>
      </c>
      <c r="E12" s="175">
        <v>4.5193097781429749E-2</v>
      </c>
      <c r="F12" s="177"/>
      <c r="G12" s="177"/>
      <c r="H12" s="177"/>
      <c r="I12" s="177"/>
      <c r="J12" s="177"/>
      <c r="K12" s="175">
        <v>0.12161051766639278</v>
      </c>
      <c r="L12" s="177"/>
      <c r="M12" s="177"/>
      <c r="N12" s="177"/>
      <c r="O12" s="176">
        <f t="shared" si="0"/>
        <v>0.69613804437140503</v>
      </c>
      <c r="Q12" s="58"/>
    </row>
    <row r="13" spans="1:17" ht="15.5">
      <c r="A13" s="33" t="s">
        <v>8</v>
      </c>
      <c r="B13" s="175">
        <v>6.814112690889941E-2</v>
      </c>
      <c r="C13" s="175">
        <v>7.2985781990521317E-2</v>
      </c>
      <c r="D13" s="175">
        <v>0.1296208530805687</v>
      </c>
      <c r="E13" s="175">
        <v>1.1558715113217479E-2</v>
      </c>
      <c r="F13" s="175">
        <v>0.20139547130068453</v>
      </c>
      <c r="G13" s="175">
        <v>5.3923117430226424E-2</v>
      </c>
      <c r="H13" s="175">
        <v>0.11374407582938387</v>
      </c>
      <c r="I13" s="175">
        <v>2.9568193786203258E-2</v>
      </c>
      <c r="J13" s="175">
        <v>1.0373880989994731E-2</v>
      </c>
      <c r="K13" s="175">
        <v>2.5065824117956815E-2</v>
      </c>
      <c r="L13" s="175">
        <v>2.0431806213796731E-2</v>
      </c>
      <c r="M13" s="175">
        <v>0.14262769878883619</v>
      </c>
      <c r="N13" s="175">
        <v>0.12056345444971035</v>
      </c>
      <c r="O13" s="176">
        <f t="shared" si="0"/>
        <v>0.52155344918378099</v>
      </c>
      <c r="Q13" s="58"/>
    </row>
    <row r="14" spans="1:17" ht="15.5">
      <c r="A14" s="33" t="s">
        <v>9</v>
      </c>
      <c r="B14" s="175">
        <v>0.10100112176434482</v>
      </c>
      <c r="C14" s="175">
        <v>5.5358012148919507E-2</v>
      </c>
      <c r="D14" s="175">
        <v>0.13273858657692553</v>
      </c>
      <c r="E14" s="175">
        <v>1.1154147353271108E-2</v>
      </c>
      <c r="F14" s="175">
        <v>0.11155205621520944</v>
      </c>
      <c r="G14" s="175">
        <v>1.3662243105382353E-2</v>
      </c>
      <c r="H14" s="175">
        <v>3.0816771435223402E-2</v>
      </c>
      <c r="I14" s="175">
        <v>1.3249518487946326E-2</v>
      </c>
      <c r="J14" s="175">
        <v>1.1429297098228461E-3</v>
      </c>
      <c r="K14" s="175">
        <v>6.4268630812538363E-2</v>
      </c>
      <c r="L14" s="175">
        <v>6.6162930979744752E-2</v>
      </c>
      <c r="M14" s="175">
        <v>0.1532689906237433</v>
      </c>
      <c r="N14" s="175">
        <v>0.24562406078692828</v>
      </c>
      <c r="O14" s="176">
        <f t="shared" si="0"/>
        <v>0.40958103159989001</v>
      </c>
      <c r="Q14" s="58"/>
    </row>
    <row r="15" spans="1:17" ht="15.5">
      <c r="A15" s="33" t="s">
        <v>126</v>
      </c>
      <c r="B15" s="175">
        <v>0.17495636998254799</v>
      </c>
      <c r="C15" s="177"/>
      <c r="D15" s="175">
        <v>0.55497382198952883</v>
      </c>
      <c r="E15" s="175">
        <v>5.8682373472949384E-2</v>
      </c>
      <c r="F15" s="177"/>
      <c r="G15" s="177"/>
      <c r="H15" s="177"/>
      <c r="I15" s="177"/>
      <c r="J15" s="177"/>
      <c r="K15" s="175">
        <v>0.21138743455497383</v>
      </c>
      <c r="L15" s="177"/>
      <c r="M15" s="177"/>
      <c r="N15" s="177"/>
      <c r="O15" s="176">
        <f t="shared" si="0"/>
        <v>0.67636343804537513</v>
      </c>
      <c r="Q15" s="58"/>
    </row>
    <row r="16" spans="1:17" ht="15.5">
      <c r="A16" s="33" t="s">
        <v>10</v>
      </c>
      <c r="B16" s="175">
        <v>0.14504657070279425</v>
      </c>
      <c r="C16" s="175">
        <v>5.4868755292125322E-2</v>
      </c>
      <c r="D16" s="175">
        <v>0.16215071972904316</v>
      </c>
      <c r="E16" s="175">
        <v>1.8797629127857748E-2</v>
      </c>
      <c r="F16" s="175">
        <v>0.15901778154106691</v>
      </c>
      <c r="G16" s="175">
        <v>2.7011007620660457E-2</v>
      </c>
      <c r="H16" s="175">
        <v>6.1812023708721422E-3</v>
      </c>
      <c r="I16" s="175">
        <v>7.1803556308213376E-2</v>
      </c>
      <c r="J16" s="177"/>
      <c r="K16" s="175">
        <v>5.0042337002540224E-2</v>
      </c>
      <c r="L16" s="175">
        <v>3.556308213378493E-3</v>
      </c>
      <c r="M16" s="175">
        <v>0.12040643522438611</v>
      </c>
      <c r="N16" s="175">
        <v>0.18111769686706181</v>
      </c>
      <c r="O16" s="176">
        <f t="shared" si="0"/>
        <v>0.51209991532599497</v>
      </c>
      <c r="Q16" s="58"/>
    </row>
    <row r="17" spans="1:17" ht="15.5">
      <c r="A17" s="33" t="s">
        <v>11</v>
      </c>
      <c r="B17" s="175">
        <v>0.24300038012625177</v>
      </c>
      <c r="C17" s="175">
        <v>0.14562574389461155</v>
      </c>
      <c r="D17" s="175">
        <v>7.9558555021717048E-2</v>
      </c>
      <c r="E17" s="175">
        <v>2.7132290167193238E-2</v>
      </c>
      <c r="F17" s="175">
        <v>0.23371532905847092</v>
      </c>
      <c r="G17" s="175">
        <v>1.4725218572594768E-2</v>
      </c>
      <c r="H17" s="175">
        <v>9.3535984246571075E-3</v>
      </c>
      <c r="I17" s="175">
        <v>1.4893471175836434E-3</v>
      </c>
      <c r="J17" s="177"/>
      <c r="K17" s="175">
        <v>2.1411701656976565E-2</v>
      </c>
      <c r="L17" s="175">
        <v>0.11940949567840074</v>
      </c>
      <c r="M17" s="175">
        <v>1.3827871355305879E-2</v>
      </c>
      <c r="N17" s="175">
        <v>9.0750468926236824E-2</v>
      </c>
      <c r="O17" s="176">
        <f t="shared" si="0"/>
        <v>0.65064714936469059</v>
      </c>
      <c r="Q17" s="58"/>
    </row>
    <row r="18" spans="1:17" ht="15.5">
      <c r="A18" s="33" t="s">
        <v>127</v>
      </c>
      <c r="B18" s="175">
        <v>0.67040358744394613</v>
      </c>
      <c r="C18" s="177"/>
      <c r="D18" s="175">
        <v>0.1547085201793722</v>
      </c>
      <c r="E18" s="175">
        <v>0.13901345291479819</v>
      </c>
      <c r="F18" s="177"/>
      <c r="G18" s="177"/>
      <c r="H18" s="177"/>
      <c r="I18" s="177"/>
      <c r="J18" s="177"/>
      <c r="K18" s="175">
        <v>3.5874439461883408E-2</v>
      </c>
      <c r="L18" s="177"/>
      <c r="M18" s="177"/>
      <c r="N18" s="177"/>
      <c r="O18" s="176">
        <f t="shared" si="0"/>
        <v>0.85919282511210759</v>
      </c>
      <c r="Q18" s="58"/>
    </row>
    <row r="19" spans="1:17" ht="15.5">
      <c r="A19" s="33" t="s">
        <v>12</v>
      </c>
      <c r="B19" s="175">
        <v>0.11262381835451626</v>
      </c>
      <c r="C19" s="175">
        <v>6.078972364195577E-2</v>
      </c>
      <c r="D19" s="175">
        <v>0.11854900719164142</v>
      </c>
      <c r="E19" s="175">
        <v>8.1867112940431502E-3</v>
      </c>
      <c r="F19" s="175">
        <v>0.15337645302817857</v>
      </c>
      <c r="G19" s="175">
        <v>4.1928626351259671E-2</v>
      </c>
      <c r="H19" s="175">
        <v>3.5053598082228958E-2</v>
      </c>
      <c r="I19" s="175">
        <v>3.6636663802071555E-2</v>
      </c>
      <c r="J19" s="175">
        <v>2.2615224569179972E-4</v>
      </c>
      <c r="K19" s="175">
        <v>2.8088108914921528E-2</v>
      </c>
      <c r="L19" s="175">
        <v>2.0715545705368855E-2</v>
      </c>
      <c r="M19" s="175">
        <v>0.15097923922384549</v>
      </c>
      <c r="N19" s="175">
        <v>0.23284635216427702</v>
      </c>
      <c r="O19" s="176">
        <f t="shared" si="0"/>
        <v>0.45482382740060601</v>
      </c>
      <c r="Q19" s="58"/>
    </row>
    <row r="20" spans="1:17" ht="15.5">
      <c r="A20" s="34" t="s">
        <v>23</v>
      </c>
      <c r="B20" s="175">
        <v>0.12854726802919925</v>
      </c>
      <c r="C20" s="175">
        <v>7.6322291947597959E-2</v>
      </c>
      <c r="D20" s="175">
        <v>0.11229405693708894</v>
      </c>
      <c r="E20" s="175">
        <v>1.4978190940388564E-2</v>
      </c>
      <c r="F20" s="175">
        <v>0.19968661247674069</v>
      </c>
      <c r="G20" s="175">
        <v>2.1952193335995112E-2</v>
      </c>
      <c r="H20" s="175">
        <v>2.8074926738133082E-2</v>
      </c>
      <c r="I20" s="175">
        <v>1.914978567608084E-2</v>
      </c>
      <c r="J20" s="175">
        <v>1.979388743662565E-3</v>
      </c>
      <c r="K20" s="175">
        <v>4.2800750322050864E-2</v>
      </c>
      <c r="L20" s="175">
        <v>7.000745802038523E-2</v>
      </c>
      <c r="M20" s="175">
        <v>0.10000150667078486</v>
      </c>
      <c r="N20" s="175">
        <v>0.18420557016189171</v>
      </c>
      <c r="O20" s="176">
        <f t="shared" si="0"/>
        <v>0.50042177365284823</v>
      </c>
      <c r="Q20" s="58"/>
    </row>
    <row r="24" spans="1:17" ht="28.5" thickBot="1">
      <c r="A24" s="202"/>
      <c r="B24" s="202"/>
      <c r="C24" s="203" t="s">
        <v>178</v>
      </c>
      <c r="D24" s="203" t="s">
        <v>131</v>
      </c>
      <c r="E24" s="203" t="s">
        <v>179</v>
      </c>
      <c r="F24" s="203" t="s">
        <v>180</v>
      </c>
      <c r="G24" s="203" t="s">
        <v>181</v>
      </c>
      <c r="H24" s="181"/>
      <c r="I24" s="182"/>
    </row>
    <row r="25" spans="1:17" ht="28">
      <c r="A25" s="223" t="s">
        <v>182</v>
      </c>
      <c r="B25" s="204" t="s">
        <v>183</v>
      </c>
      <c r="C25" s="205">
        <v>0.3</v>
      </c>
      <c r="D25" s="205">
        <v>0.5</v>
      </c>
      <c r="E25" s="205">
        <v>0.5</v>
      </c>
      <c r="F25" s="205">
        <v>0.1</v>
      </c>
      <c r="G25" s="205">
        <v>0.25</v>
      </c>
      <c r="H25" s="181"/>
      <c r="I25" s="181"/>
    </row>
    <row r="26" spans="1:17">
      <c r="A26" s="224"/>
      <c r="B26" s="206" t="s">
        <v>184</v>
      </c>
      <c r="C26" s="207">
        <v>0.25</v>
      </c>
      <c r="D26" s="207">
        <v>0.5</v>
      </c>
      <c r="E26" s="208"/>
      <c r="F26" s="208"/>
      <c r="G26" s="208"/>
      <c r="H26" s="183"/>
    </row>
    <row r="27" spans="1:17" ht="28">
      <c r="A27" s="225" t="s">
        <v>185</v>
      </c>
      <c r="B27" s="206" t="s">
        <v>183</v>
      </c>
      <c r="C27" s="207">
        <v>0.1</v>
      </c>
      <c r="D27" s="227">
        <v>0.25</v>
      </c>
      <c r="E27" s="228"/>
      <c r="F27" s="208"/>
      <c r="G27" s="208"/>
    </row>
    <row r="28" spans="1:17" ht="15" thickBot="1">
      <c r="A28" s="226"/>
      <c r="B28" s="209" t="s">
        <v>184</v>
      </c>
      <c r="C28" s="210">
        <v>0.05</v>
      </c>
      <c r="D28" s="210">
        <v>0.25</v>
      </c>
      <c r="E28" s="211"/>
      <c r="F28" s="211"/>
      <c r="G28" s="211"/>
    </row>
    <row r="29" spans="1:17">
      <c r="B29" s="181"/>
      <c r="C29" s="181"/>
      <c r="D29" s="181"/>
    </row>
    <row r="30" spans="1:17">
      <c r="B30" s="181"/>
      <c r="C30" s="181"/>
      <c r="D30" s="181"/>
    </row>
    <row r="31" spans="1:17">
      <c r="B31" s="183"/>
      <c r="C31" s="183"/>
    </row>
    <row r="32" spans="1:17">
      <c r="B32" s="181"/>
      <c r="C32" s="181"/>
      <c r="D32" s="181"/>
    </row>
    <row r="33" spans="2:3">
      <c r="B33" s="183"/>
      <c r="C33" s="183"/>
    </row>
  </sheetData>
  <mergeCells count="4">
    <mergeCell ref="B3:N3"/>
    <mergeCell ref="A25:A26"/>
    <mergeCell ref="A27:A28"/>
    <mergeCell ref="D27:E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14533-E361-6144-A8E5-D4984C785225}">
  <sheetPr codeName="Sheet9"/>
  <dimension ref="A1:Y24"/>
  <sheetViews>
    <sheetView topLeftCell="N1" zoomScaleNormal="100" workbookViewId="0">
      <selection activeCell="J8" sqref="J8"/>
    </sheetView>
  </sheetViews>
  <sheetFormatPr defaultColWidth="10.90625" defaultRowHeight="14.5"/>
  <cols>
    <col min="1" max="1" width="56.453125" bestFit="1" customWidth="1"/>
    <col min="10" max="10" width="14" customWidth="1"/>
    <col min="12" max="12" width="15.81640625" customWidth="1"/>
    <col min="13" max="13" width="17.1796875" customWidth="1"/>
    <col min="14" max="15" width="13.36328125" customWidth="1"/>
    <col min="16" max="17" width="13.81640625" customWidth="1"/>
    <col min="18" max="18" width="10.1796875" customWidth="1"/>
    <col min="19" max="21" width="15.453125" customWidth="1"/>
    <col min="23" max="25" width="14.6328125" customWidth="1"/>
  </cols>
  <sheetData>
    <row r="1" spans="1:25" ht="18">
      <c r="A1" s="142" t="s">
        <v>155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25" ht="18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71"/>
      <c r="L2" s="71"/>
    </row>
    <row r="3" spans="1:25" ht="36" customHeight="1">
      <c r="A3" s="71"/>
      <c r="B3" s="229" t="s">
        <v>129</v>
      </c>
      <c r="C3" s="229"/>
      <c r="D3" s="230" t="s">
        <v>130</v>
      </c>
      <c r="E3" s="230"/>
      <c r="F3" s="231" t="s">
        <v>147</v>
      </c>
      <c r="G3" s="231"/>
      <c r="H3" s="232" t="s">
        <v>148</v>
      </c>
      <c r="I3" s="232"/>
      <c r="J3" s="233" t="s">
        <v>128</v>
      </c>
      <c r="K3" s="71"/>
      <c r="L3" s="234" t="s">
        <v>149</v>
      </c>
      <c r="M3" s="234" t="s">
        <v>144</v>
      </c>
      <c r="N3" s="234" t="s">
        <v>145</v>
      </c>
      <c r="O3" s="234" t="s">
        <v>146</v>
      </c>
      <c r="P3" s="234" t="s">
        <v>150</v>
      </c>
      <c r="Q3" s="234" t="s">
        <v>151</v>
      </c>
      <c r="R3" s="150"/>
      <c r="S3" s="234" t="s">
        <v>132</v>
      </c>
      <c r="T3" s="234" t="s">
        <v>133</v>
      </c>
      <c r="U3" s="234" t="s">
        <v>134</v>
      </c>
      <c r="W3" s="234" t="s">
        <v>152</v>
      </c>
      <c r="X3" s="234" t="s">
        <v>153</v>
      </c>
      <c r="Y3" s="234" t="s">
        <v>154</v>
      </c>
    </row>
    <row r="4" spans="1:25" ht="18">
      <c r="A4" s="143" t="s">
        <v>13</v>
      </c>
      <c r="B4" s="145" t="s">
        <v>131</v>
      </c>
      <c r="C4" s="145" t="s">
        <v>135</v>
      </c>
      <c r="D4" s="145" t="s">
        <v>131</v>
      </c>
      <c r="E4" s="145" t="s">
        <v>135</v>
      </c>
      <c r="F4" s="145" t="s">
        <v>131</v>
      </c>
      <c r="G4" s="145" t="s">
        <v>135</v>
      </c>
      <c r="H4" s="145" t="s">
        <v>131</v>
      </c>
      <c r="I4" s="145" t="s">
        <v>135</v>
      </c>
      <c r="J4" s="233"/>
      <c r="K4" s="101"/>
      <c r="L4" s="234"/>
      <c r="M4" s="234"/>
      <c r="N4" s="234"/>
      <c r="O4" s="234"/>
      <c r="P4" s="234"/>
      <c r="Q4" s="234"/>
      <c r="R4" s="150"/>
      <c r="S4" s="234"/>
      <c r="T4" s="234"/>
      <c r="U4" s="234"/>
      <c r="W4" s="234"/>
      <c r="X4" s="234"/>
      <c r="Y4" s="234"/>
    </row>
    <row r="5" spans="1:25" ht="18.5">
      <c r="A5" s="122" t="s">
        <v>1</v>
      </c>
      <c r="B5" s="139">
        <v>1529.3333333333333</v>
      </c>
      <c r="C5" s="139">
        <v>1924.3333333333333</v>
      </c>
      <c r="D5" s="139">
        <v>207</v>
      </c>
      <c r="E5" s="139">
        <v>248</v>
      </c>
      <c r="F5" s="139">
        <v>81</v>
      </c>
      <c r="G5" s="139">
        <v>150</v>
      </c>
      <c r="H5" s="139">
        <v>0</v>
      </c>
      <c r="I5" s="139">
        <v>0</v>
      </c>
      <c r="J5" s="139">
        <f t="shared" ref="J5:J20" si="0">I5+G5+E5+C5</f>
        <v>2322.333333333333</v>
      </c>
      <c r="K5" s="71"/>
      <c r="L5" s="139">
        <f t="shared" ref="L5:L20" si="1">J5-I5-G5</f>
        <v>2172.333333333333</v>
      </c>
      <c r="M5" s="146">
        <v>5.3903088096690137E-2</v>
      </c>
      <c r="N5" s="139">
        <f>M5*L5</f>
        <v>117.09547504204319</v>
      </c>
      <c r="O5" s="146">
        <f>N5/J5</f>
        <v>5.0421476263259594E-2</v>
      </c>
      <c r="P5" s="146">
        <f t="shared" ref="P5:P20" si="2">G5/J5</f>
        <v>6.4590210994689257E-2</v>
      </c>
      <c r="Q5" s="146">
        <f>I5/J5</f>
        <v>0</v>
      </c>
      <c r="R5" s="146"/>
      <c r="S5" s="146">
        <f t="shared" ref="S5:S20" si="3">D5/J5</f>
        <v>8.9134491172671179E-2</v>
      </c>
      <c r="T5" s="146">
        <f>F5/J5</f>
        <v>3.4878713937132197E-2</v>
      </c>
      <c r="U5" s="146">
        <f>H5/J5</f>
        <v>0</v>
      </c>
      <c r="V5" s="58"/>
      <c r="W5" s="146">
        <f t="shared" ref="W5:W20" si="4">IFERROR(D5/E5,0)</f>
        <v>0.83467741935483875</v>
      </c>
      <c r="X5" s="146">
        <f>IFERROR(F5/G5,0)</f>
        <v>0.54</v>
      </c>
      <c r="Y5" s="146">
        <f>IFERROR(H5/I5,0)</f>
        <v>0</v>
      </c>
    </row>
    <row r="6" spans="1:25" ht="18.5">
      <c r="A6" s="33" t="s">
        <v>2</v>
      </c>
      <c r="B6" s="139">
        <v>1656.3333333333333</v>
      </c>
      <c r="C6" s="139">
        <v>5673</v>
      </c>
      <c r="D6" s="139">
        <v>134</v>
      </c>
      <c r="E6" s="139">
        <v>601</v>
      </c>
      <c r="F6" s="201" t="s">
        <v>176</v>
      </c>
      <c r="G6" s="139">
        <v>66</v>
      </c>
      <c r="H6" s="139">
        <v>0</v>
      </c>
      <c r="I6" s="139">
        <v>0</v>
      </c>
      <c r="J6" s="139">
        <f t="shared" si="0"/>
        <v>6340</v>
      </c>
      <c r="K6" s="71"/>
      <c r="L6" s="139">
        <f t="shared" si="1"/>
        <v>6274</v>
      </c>
      <c r="M6" s="146">
        <v>0.11843978114104389</v>
      </c>
      <c r="N6" s="139">
        <f t="shared" ref="N6:N20" si="5">M6*L6</f>
        <v>743.09118687890941</v>
      </c>
      <c r="O6" s="146">
        <f t="shared" ref="O6:O20" si="6">N6/J6</f>
        <v>0.11720681181055354</v>
      </c>
      <c r="P6" s="146">
        <f t="shared" si="2"/>
        <v>1.0410094637223975E-2</v>
      </c>
      <c r="Q6" s="146">
        <f t="shared" ref="Q6:Q20" si="7">I6/J6</f>
        <v>0</v>
      </c>
      <c r="R6" s="146"/>
      <c r="S6" s="146">
        <f t="shared" si="3"/>
        <v>2.1135646687697161E-2</v>
      </c>
      <c r="T6" s="146">
        <v>4.7318611987381704E-4</v>
      </c>
      <c r="U6" s="146">
        <f t="shared" ref="U6:U20" si="8">H6/J6</f>
        <v>0</v>
      </c>
      <c r="V6" s="58"/>
      <c r="W6" s="146">
        <f t="shared" si="4"/>
        <v>0.22296173044925124</v>
      </c>
      <c r="X6" s="146">
        <v>4.5454545454545456E-2</v>
      </c>
      <c r="Y6" s="146">
        <f t="shared" ref="Y6:Y20" si="9">IFERROR(H6/I6,0)</f>
        <v>0</v>
      </c>
    </row>
    <row r="7" spans="1:25" ht="18.5">
      <c r="A7" s="33" t="s">
        <v>3</v>
      </c>
      <c r="B7" s="139">
        <v>2293.6666666666665</v>
      </c>
      <c r="C7" s="139">
        <v>4186.6666666666661</v>
      </c>
      <c r="D7" s="139">
        <v>75</v>
      </c>
      <c r="E7" s="139">
        <v>118</v>
      </c>
      <c r="F7" s="139">
        <v>40</v>
      </c>
      <c r="G7" s="139">
        <v>109</v>
      </c>
      <c r="H7" s="139">
        <v>0</v>
      </c>
      <c r="I7" s="139">
        <v>0</v>
      </c>
      <c r="J7" s="139">
        <f t="shared" si="0"/>
        <v>4413.6666666666661</v>
      </c>
      <c r="K7" s="71"/>
      <c r="L7" s="139">
        <f t="shared" si="1"/>
        <v>4304.6666666666661</v>
      </c>
      <c r="M7" s="146">
        <v>9.0693488013258286E-2</v>
      </c>
      <c r="N7" s="139">
        <f t="shared" si="5"/>
        <v>390.40523473440578</v>
      </c>
      <c r="O7" s="146">
        <f t="shared" si="6"/>
        <v>8.8453719825029642E-2</v>
      </c>
      <c r="P7" s="146">
        <f t="shared" si="2"/>
        <v>2.4696019938071145E-2</v>
      </c>
      <c r="Q7" s="146">
        <f t="shared" si="7"/>
        <v>0</v>
      </c>
      <c r="R7" s="146"/>
      <c r="S7" s="146">
        <f t="shared" si="3"/>
        <v>1.6992674269315007E-2</v>
      </c>
      <c r="T7" s="146">
        <f>F7/J7</f>
        <v>9.0627596103013373E-3</v>
      </c>
      <c r="U7" s="146">
        <f t="shared" si="8"/>
        <v>0</v>
      </c>
      <c r="V7" s="58"/>
      <c r="W7" s="146">
        <f t="shared" si="4"/>
        <v>0.63559322033898302</v>
      </c>
      <c r="X7" s="146">
        <f>IFERROR(F7/G7,0)</f>
        <v>0.3669724770642202</v>
      </c>
      <c r="Y7" s="146">
        <f t="shared" si="9"/>
        <v>0</v>
      </c>
    </row>
    <row r="8" spans="1:25" ht="18.5">
      <c r="A8" s="33" t="s">
        <v>4</v>
      </c>
      <c r="B8" s="139">
        <v>4722.333333333333</v>
      </c>
      <c r="C8" s="139">
        <v>18420.666666666668</v>
      </c>
      <c r="D8" s="139">
        <v>413</v>
      </c>
      <c r="E8" s="139">
        <v>1854</v>
      </c>
      <c r="F8" s="139">
        <v>26</v>
      </c>
      <c r="G8" s="139">
        <v>152</v>
      </c>
      <c r="H8" s="139">
        <v>0</v>
      </c>
      <c r="I8" s="139">
        <v>0</v>
      </c>
      <c r="J8" s="139">
        <f t="shared" si="0"/>
        <v>20426.666666666668</v>
      </c>
      <c r="K8" s="71"/>
      <c r="L8" s="139">
        <f t="shared" si="1"/>
        <v>20274.666666666668</v>
      </c>
      <c r="M8" s="146">
        <v>0.19254976713889169</v>
      </c>
      <c r="N8" s="139">
        <f t="shared" si="5"/>
        <v>3903.8823454853164</v>
      </c>
      <c r="O8" s="146">
        <f t="shared" si="6"/>
        <v>0.19111695555574329</v>
      </c>
      <c r="P8" s="146">
        <f t="shared" si="2"/>
        <v>7.4412532637075715E-3</v>
      </c>
      <c r="Q8" s="146">
        <f t="shared" si="7"/>
        <v>0</v>
      </c>
      <c r="R8" s="146"/>
      <c r="S8" s="146">
        <f t="shared" si="3"/>
        <v>2.0218668407310705E-2</v>
      </c>
      <c r="T8" s="146">
        <f>F8/J8</f>
        <v>1.272845953002611E-3</v>
      </c>
      <c r="U8" s="146">
        <f t="shared" si="8"/>
        <v>0</v>
      </c>
      <c r="V8" s="58"/>
      <c r="W8" s="146">
        <f t="shared" si="4"/>
        <v>0.22276159654800431</v>
      </c>
      <c r="X8" s="146">
        <f>IFERROR(F8/G8,0)</f>
        <v>0.17105263157894737</v>
      </c>
      <c r="Y8" s="146">
        <f t="shared" si="9"/>
        <v>0</v>
      </c>
    </row>
    <row r="9" spans="1:25" ht="18.5">
      <c r="A9" s="33" t="s">
        <v>5</v>
      </c>
      <c r="B9" s="139">
        <v>3142.333333333333</v>
      </c>
      <c r="C9" s="139">
        <v>5770.3333333333348</v>
      </c>
      <c r="D9" s="139">
        <v>88</v>
      </c>
      <c r="E9" s="139">
        <v>172</v>
      </c>
      <c r="F9" s="139">
        <v>0</v>
      </c>
      <c r="G9" s="139">
        <v>0</v>
      </c>
      <c r="H9" s="139">
        <v>0</v>
      </c>
      <c r="I9" s="139">
        <v>0</v>
      </c>
      <c r="J9" s="139">
        <f t="shared" si="0"/>
        <v>5942.3333333333348</v>
      </c>
      <c r="K9" s="71"/>
      <c r="L9" s="139">
        <f t="shared" si="1"/>
        <v>5942.3333333333348</v>
      </c>
      <c r="M9" s="146">
        <v>0.1220752984389348</v>
      </c>
      <c r="N9" s="139">
        <f t="shared" si="5"/>
        <v>725.41211509029711</v>
      </c>
      <c r="O9" s="146">
        <f t="shared" si="6"/>
        <v>0.1220752984389348</v>
      </c>
      <c r="P9" s="146">
        <f t="shared" si="2"/>
        <v>0</v>
      </c>
      <c r="Q9" s="146">
        <f t="shared" si="7"/>
        <v>0</v>
      </c>
      <c r="R9" s="146"/>
      <c r="S9" s="146">
        <f t="shared" si="3"/>
        <v>1.4808997587928419E-2</v>
      </c>
      <c r="T9" s="146">
        <f>F9/J9</f>
        <v>0</v>
      </c>
      <c r="U9" s="146">
        <f t="shared" si="8"/>
        <v>0</v>
      </c>
      <c r="V9" s="58"/>
      <c r="W9" s="146">
        <f t="shared" si="4"/>
        <v>0.51162790697674421</v>
      </c>
      <c r="X9" s="146">
        <f>IFERROR(F9/G9,0)</f>
        <v>0</v>
      </c>
      <c r="Y9" s="146">
        <f t="shared" si="9"/>
        <v>0</v>
      </c>
    </row>
    <row r="10" spans="1:25" ht="18.5">
      <c r="A10" s="33" t="s">
        <v>6</v>
      </c>
      <c r="B10" s="139">
        <v>5420.666666666667</v>
      </c>
      <c r="C10" s="139">
        <v>13275.999999999998</v>
      </c>
      <c r="D10" s="139">
        <v>848</v>
      </c>
      <c r="E10" s="139">
        <v>2378</v>
      </c>
      <c r="F10" s="139">
        <v>42</v>
      </c>
      <c r="G10" s="139">
        <v>201</v>
      </c>
      <c r="H10" s="139">
        <v>0</v>
      </c>
      <c r="I10" s="139">
        <v>0</v>
      </c>
      <c r="J10" s="139">
        <f t="shared" si="0"/>
        <v>15854.999999999998</v>
      </c>
      <c r="K10" s="71"/>
      <c r="L10" s="139">
        <f t="shared" si="1"/>
        <v>15653.999999999998</v>
      </c>
      <c r="M10" s="146">
        <v>0.19206786172995061</v>
      </c>
      <c r="N10" s="139">
        <f t="shared" si="5"/>
        <v>3006.6303075206465</v>
      </c>
      <c r="O10" s="146">
        <f t="shared" si="6"/>
        <v>0.18963294276383771</v>
      </c>
      <c r="P10" s="146">
        <f t="shared" si="2"/>
        <v>1.2677388836329235E-2</v>
      </c>
      <c r="Q10" s="146">
        <f t="shared" si="7"/>
        <v>0</v>
      </c>
      <c r="R10" s="146"/>
      <c r="S10" s="146">
        <f t="shared" si="3"/>
        <v>5.3484705140334286E-2</v>
      </c>
      <c r="T10" s="146">
        <f>F10/J10</f>
        <v>2.6490066225165567E-3</v>
      </c>
      <c r="U10" s="146">
        <f t="shared" si="8"/>
        <v>0</v>
      </c>
      <c r="V10" s="58"/>
      <c r="W10" s="146">
        <f t="shared" si="4"/>
        <v>0.35660218671152227</v>
      </c>
      <c r="X10" s="146">
        <f>IFERROR(F10/G10,0)</f>
        <v>0.20895522388059701</v>
      </c>
      <c r="Y10" s="146">
        <f t="shared" si="9"/>
        <v>0</v>
      </c>
    </row>
    <row r="11" spans="1:25" ht="18.5">
      <c r="A11" s="33" t="s">
        <v>7</v>
      </c>
      <c r="B11" s="139">
        <v>2555</v>
      </c>
      <c r="C11" s="139">
        <v>9525.6666666666697</v>
      </c>
      <c r="D11" s="139">
        <v>222</v>
      </c>
      <c r="E11" s="139">
        <v>1081</v>
      </c>
      <c r="F11" s="201" t="s">
        <v>176</v>
      </c>
      <c r="G11" s="139">
        <v>50</v>
      </c>
      <c r="H11" s="139">
        <v>0</v>
      </c>
      <c r="I11" s="139">
        <v>0</v>
      </c>
      <c r="J11" s="139">
        <f t="shared" si="0"/>
        <v>10656.66666666667</v>
      </c>
      <c r="K11" s="71"/>
      <c r="L11" s="139">
        <f t="shared" si="1"/>
        <v>10606.66666666667</v>
      </c>
      <c r="M11" s="146">
        <v>0.17115730709670357</v>
      </c>
      <c r="N11" s="139">
        <f t="shared" si="5"/>
        <v>1815.4085039390363</v>
      </c>
      <c r="O11" s="146">
        <f t="shared" si="6"/>
        <v>0.17035425435774498</v>
      </c>
      <c r="P11" s="146">
        <f t="shared" si="2"/>
        <v>4.6918986549890507E-3</v>
      </c>
      <c r="Q11" s="146">
        <f t="shared" si="7"/>
        <v>0</v>
      </c>
      <c r="R11" s="146"/>
      <c r="S11" s="146">
        <f t="shared" si="3"/>
        <v>2.0832030028151385E-2</v>
      </c>
      <c r="T11" s="146">
        <v>6.5686581169846709E-4</v>
      </c>
      <c r="U11" s="146">
        <f t="shared" si="8"/>
        <v>0</v>
      </c>
      <c r="V11" s="58"/>
      <c r="W11" s="146">
        <f t="shared" si="4"/>
        <v>0.20536540240518039</v>
      </c>
      <c r="X11" s="146">
        <v>0.14000000000000001</v>
      </c>
      <c r="Y11" s="146">
        <f t="shared" si="9"/>
        <v>0</v>
      </c>
    </row>
    <row r="12" spans="1:25" ht="18.5">
      <c r="A12" s="33" t="s">
        <v>121</v>
      </c>
      <c r="B12" s="201" t="s">
        <v>176</v>
      </c>
      <c r="C12" s="139">
        <v>101.99999999999997</v>
      </c>
      <c r="D12" s="139">
        <v>0</v>
      </c>
      <c r="E12" s="139">
        <v>0</v>
      </c>
      <c r="F12" s="139">
        <v>0</v>
      </c>
      <c r="G12" s="139">
        <v>0</v>
      </c>
      <c r="H12" s="139">
        <v>59</v>
      </c>
      <c r="I12" s="139">
        <v>304</v>
      </c>
      <c r="J12" s="139">
        <f t="shared" si="0"/>
        <v>406</v>
      </c>
      <c r="K12" s="71"/>
      <c r="L12" s="139">
        <f t="shared" si="1"/>
        <v>102</v>
      </c>
      <c r="M12" s="146">
        <v>0</v>
      </c>
      <c r="N12" s="139">
        <f t="shared" si="5"/>
        <v>0</v>
      </c>
      <c r="O12" s="146">
        <f t="shared" si="6"/>
        <v>0</v>
      </c>
      <c r="P12" s="146">
        <f t="shared" si="2"/>
        <v>0</v>
      </c>
      <c r="Q12" s="146">
        <f t="shared" si="7"/>
        <v>0.74876847290640391</v>
      </c>
      <c r="R12" s="146"/>
      <c r="S12" s="146">
        <f t="shared" si="3"/>
        <v>0</v>
      </c>
      <c r="T12" s="146">
        <f t="shared" ref="T12:T18" si="10">F12/J12</f>
        <v>0</v>
      </c>
      <c r="U12" s="146">
        <f t="shared" si="8"/>
        <v>0.14532019704433496</v>
      </c>
      <c r="V12" s="58"/>
      <c r="W12" s="146">
        <f t="shared" si="4"/>
        <v>0</v>
      </c>
      <c r="X12" s="146">
        <f t="shared" ref="X12:X18" si="11">IFERROR(F12/G12,0)</f>
        <v>0</v>
      </c>
      <c r="Y12" s="146">
        <f t="shared" si="9"/>
        <v>0.19407894736842105</v>
      </c>
    </row>
    <row r="13" spans="1:25" ht="18.5">
      <c r="A13" s="33" t="s">
        <v>8</v>
      </c>
      <c r="B13" s="139">
        <v>2296.333333333333</v>
      </c>
      <c r="C13" s="139">
        <v>9631.6666666666661</v>
      </c>
      <c r="D13" s="139">
        <v>344</v>
      </c>
      <c r="E13" s="139">
        <v>2214</v>
      </c>
      <c r="F13" s="139">
        <v>111</v>
      </c>
      <c r="G13" s="139">
        <v>814</v>
      </c>
      <c r="H13" s="139">
        <v>0</v>
      </c>
      <c r="I13" s="139">
        <v>0</v>
      </c>
      <c r="J13" s="139">
        <f t="shared" si="0"/>
        <v>12659.666666666666</v>
      </c>
      <c r="K13" s="71"/>
      <c r="L13" s="139">
        <f t="shared" si="1"/>
        <v>11845.666666666666</v>
      </c>
      <c r="M13" s="146">
        <v>0.22119045005805524</v>
      </c>
      <c r="N13" s="139">
        <f t="shared" si="5"/>
        <v>2620.1483412377029</v>
      </c>
      <c r="O13" s="146">
        <f t="shared" si="6"/>
        <v>0.20696819357310905</v>
      </c>
      <c r="P13" s="146">
        <f t="shared" si="2"/>
        <v>6.4298691382079567E-2</v>
      </c>
      <c r="Q13" s="146">
        <f t="shared" si="7"/>
        <v>0</v>
      </c>
      <c r="R13" s="146"/>
      <c r="S13" s="146">
        <f t="shared" si="3"/>
        <v>2.7172911345743702E-2</v>
      </c>
      <c r="T13" s="146">
        <f t="shared" si="10"/>
        <v>8.768003370283578E-3</v>
      </c>
      <c r="U13" s="146">
        <f t="shared" si="8"/>
        <v>0</v>
      </c>
      <c r="V13" s="58"/>
      <c r="W13" s="146">
        <f t="shared" si="4"/>
        <v>0.15537488708220415</v>
      </c>
      <c r="X13" s="146">
        <f t="shared" si="11"/>
        <v>0.13636363636363635</v>
      </c>
      <c r="Y13" s="146">
        <f t="shared" si="9"/>
        <v>0</v>
      </c>
    </row>
    <row r="14" spans="1:25" ht="18.5">
      <c r="A14" s="33" t="s">
        <v>9</v>
      </c>
      <c r="B14" s="139">
        <v>10442.666666666666</v>
      </c>
      <c r="C14" s="139">
        <v>25153</v>
      </c>
      <c r="D14" s="139">
        <v>1567</v>
      </c>
      <c r="E14" s="139">
        <v>4599</v>
      </c>
      <c r="F14" s="139">
        <v>392</v>
      </c>
      <c r="G14" s="139">
        <v>1746</v>
      </c>
      <c r="H14" s="139">
        <v>0</v>
      </c>
      <c r="I14" s="139">
        <v>0</v>
      </c>
      <c r="J14" s="139">
        <f t="shared" si="0"/>
        <v>31498</v>
      </c>
      <c r="K14" s="71"/>
      <c r="L14" s="139">
        <f t="shared" si="1"/>
        <v>29752</v>
      </c>
      <c r="M14" s="146">
        <v>0.22653149751779317</v>
      </c>
      <c r="N14" s="139">
        <f t="shared" si="5"/>
        <v>6739.7651141493825</v>
      </c>
      <c r="O14" s="146">
        <f t="shared" si="6"/>
        <v>0.21397438294969148</v>
      </c>
      <c r="P14" s="146">
        <f t="shared" si="2"/>
        <v>5.5432090926408023E-2</v>
      </c>
      <c r="Q14" s="146">
        <f t="shared" si="7"/>
        <v>0</v>
      </c>
      <c r="R14" s="146"/>
      <c r="S14" s="146">
        <f t="shared" si="3"/>
        <v>4.9749190424788876E-2</v>
      </c>
      <c r="T14" s="146">
        <f t="shared" si="10"/>
        <v>1.2445234618070988E-2</v>
      </c>
      <c r="U14" s="146">
        <f t="shared" si="8"/>
        <v>0</v>
      </c>
      <c r="V14" s="58"/>
      <c r="W14" s="146">
        <f t="shared" si="4"/>
        <v>0.34072624483583386</v>
      </c>
      <c r="X14" s="146">
        <f t="shared" si="11"/>
        <v>0.22451317296678122</v>
      </c>
      <c r="Y14" s="146">
        <f t="shared" si="9"/>
        <v>0</v>
      </c>
    </row>
    <row r="15" spans="1:25" ht="18.5">
      <c r="A15" s="33" t="s">
        <v>126</v>
      </c>
      <c r="B15" s="139">
        <v>44.333333333333329</v>
      </c>
      <c r="C15" s="139">
        <v>273.66666666666663</v>
      </c>
      <c r="D15" s="139">
        <v>0</v>
      </c>
      <c r="E15" s="139">
        <v>0</v>
      </c>
      <c r="F15" s="139">
        <v>0</v>
      </c>
      <c r="G15" s="139">
        <v>0</v>
      </c>
      <c r="H15" s="139">
        <v>368</v>
      </c>
      <c r="I15" s="139">
        <v>1254</v>
      </c>
      <c r="J15" s="139">
        <f t="shared" si="0"/>
        <v>1527.6666666666665</v>
      </c>
      <c r="K15" s="71"/>
      <c r="L15" s="139">
        <f t="shared" si="1"/>
        <v>273.66666666666652</v>
      </c>
      <c r="M15" s="146">
        <v>0</v>
      </c>
      <c r="N15" s="139">
        <f t="shared" si="5"/>
        <v>0</v>
      </c>
      <c r="O15" s="146">
        <f t="shared" si="6"/>
        <v>0</v>
      </c>
      <c r="P15" s="146">
        <f t="shared" si="2"/>
        <v>0</v>
      </c>
      <c r="Q15" s="146">
        <f t="shared" si="7"/>
        <v>0.8208596988871919</v>
      </c>
      <c r="R15" s="146"/>
      <c r="S15" s="146">
        <f t="shared" si="3"/>
        <v>0</v>
      </c>
      <c r="T15" s="146">
        <f t="shared" si="10"/>
        <v>0</v>
      </c>
      <c r="U15" s="146">
        <f t="shared" si="8"/>
        <v>0.24089024656338645</v>
      </c>
      <c r="V15" s="58"/>
      <c r="W15" s="146">
        <f t="shared" si="4"/>
        <v>0</v>
      </c>
      <c r="X15" s="146">
        <f t="shared" si="11"/>
        <v>0</v>
      </c>
      <c r="Y15" s="146">
        <f t="shared" si="9"/>
        <v>0.29346092503987242</v>
      </c>
    </row>
    <row r="16" spans="1:25" ht="18.5">
      <c r="A16" s="33" t="s">
        <v>10</v>
      </c>
      <c r="B16" s="139">
        <v>969.33333333333337</v>
      </c>
      <c r="C16" s="139">
        <v>3908.6666666666661</v>
      </c>
      <c r="D16" s="139">
        <v>10</v>
      </c>
      <c r="E16" s="139">
        <v>27</v>
      </c>
      <c r="F16" s="139">
        <v>0</v>
      </c>
      <c r="G16" s="139">
        <v>0</v>
      </c>
      <c r="H16" s="139">
        <v>0</v>
      </c>
      <c r="I16" s="139">
        <v>0</v>
      </c>
      <c r="J16" s="139">
        <f t="shared" si="0"/>
        <v>3935.6666666666661</v>
      </c>
      <c r="K16" s="71"/>
      <c r="L16" s="139">
        <f t="shared" si="1"/>
        <v>3935.6666666666661</v>
      </c>
      <c r="M16" s="146">
        <v>6.0213872712577457E-2</v>
      </c>
      <c r="N16" s="139">
        <f t="shared" si="5"/>
        <v>236.98173170580066</v>
      </c>
      <c r="O16" s="146">
        <f t="shared" si="6"/>
        <v>6.0213872712577457E-2</v>
      </c>
      <c r="P16" s="146">
        <f t="shared" si="2"/>
        <v>0</v>
      </c>
      <c r="Q16" s="146">
        <f t="shared" si="7"/>
        <v>0</v>
      </c>
      <c r="R16" s="146"/>
      <c r="S16" s="146">
        <f t="shared" si="3"/>
        <v>2.5408655882103843E-3</v>
      </c>
      <c r="T16" s="146">
        <f t="shared" si="10"/>
        <v>0</v>
      </c>
      <c r="U16" s="146">
        <f t="shared" si="8"/>
        <v>0</v>
      </c>
      <c r="V16" s="58"/>
      <c r="W16" s="146">
        <f t="shared" si="4"/>
        <v>0.37037037037037035</v>
      </c>
      <c r="X16" s="146">
        <f t="shared" si="11"/>
        <v>0</v>
      </c>
      <c r="Y16" s="146">
        <f t="shared" si="9"/>
        <v>0</v>
      </c>
    </row>
    <row r="17" spans="1:25" ht="18.5">
      <c r="A17" s="33" t="s">
        <v>11</v>
      </c>
      <c r="B17" s="139">
        <v>8867</v>
      </c>
      <c r="C17" s="139">
        <v>41421.666666666664</v>
      </c>
      <c r="D17" s="139">
        <v>1620</v>
      </c>
      <c r="E17" s="139">
        <v>11447</v>
      </c>
      <c r="F17" s="139">
        <v>94</v>
      </c>
      <c r="G17" s="139">
        <v>621</v>
      </c>
      <c r="H17" s="139">
        <v>0</v>
      </c>
      <c r="I17" s="139">
        <v>0</v>
      </c>
      <c r="J17" s="139">
        <f t="shared" si="0"/>
        <v>53489.666666666664</v>
      </c>
      <c r="K17" s="71"/>
      <c r="L17" s="139">
        <f t="shared" si="1"/>
        <v>52868.666666666664</v>
      </c>
      <c r="M17" s="146">
        <v>0.22853491955974525</v>
      </c>
      <c r="N17" s="139">
        <f t="shared" si="5"/>
        <v>12082.336483897652</v>
      </c>
      <c r="O17" s="146">
        <f t="shared" si="6"/>
        <v>0.22588169335942118</v>
      </c>
      <c r="P17" s="146">
        <f t="shared" si="2"/>
        <v>1.1609719011148571E-2</v>
      </c>
      <c r="Q17" s="146">
        <f t="shared" si="7"/>
        <v>0</v>
      </c>
      <c r="R17" s="146"/>
      <c r="S17" s="146">
        <f t="shared" si="3"/>
        <v>3.0286223507344098E-2</v>
      </c>
      <c r="T17" s="146">
        <f t="shared" si="10"/>
        <v>1.7573487714137935E-3</v>
      </c>
      <c r="U17" s="146">
        <f t="shared" si="8"/>
        <v>0</v>
      </c>
      <c r="V17" s="58"/>
      <c r="W17" s="146">
        <f t="shared" si="4"/>
        <v>0.14152179610378265</v>
      </c>
      <c r="X17" s="146">
        <f t="shared" si="11"/>
        <v>0.15136876006441224</v>
      </c>
      <c r="Y17" s="146">
        <f t="shared" si="9"/>
        <v>0</v>
      </c>
    </row>
    <row r="18" spans="1:25" ht="18.5">
      <c r="A18" s="33" t="s">
        <v>127</v>
      </c>
      <c r="B18" s="139">
        <v>0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26</v>
      </c>
      <c r="I18" s="139">
        <v>148</v>
      </c>
      <c r="J18" s="139">
        <f t="shared" si="0"/>
        <v>148</v>
      </c>
      <c r="K18" s="71"/>
      <c r="L18" s="139">
        <f t="shared" si="1"/>
        <v>0</v>
      </c>
      <c r="M18" s="146">
        <v>0</v>
      </c>
      <c r="N18" s="139">
        <f t="shared" si="5"/>
        <v>0</v>
      </c>
      <c r="O18" s="146">
        <f t="shared" si="6"/>
        <v>0</v>
      </c>
      <c r="P18" s="146">
        <f t="shared" si="2"/>
        <v>0</v>
      </c>
      <c r="Q18" s="146">
        <f t="shared" si="7"/>
        <v>1</v>
      </c>
      <c r="R18" s="146"/>
      <c r="S18" s="146">
        <f t="shared" si="3"/>
        <v>0</v>
      </c>
      <c r="T18" s="146">
        <f t="shared" si="10"/>
        <v>0</v>
      </c>
      <c r="U18" s="146">
        <f t="shared" si="8"/>
        <v>0.17567567567567569</v>
      </c>
      <c r="V18" s="58"/>
      <c r="W18" s="146">
        <f t="shared" si="4"/>
        <v>0</v>
      </c>
      <c r="X18" s="146">
        <f t="shared" si="11"/>
        <v>0</v>
      </c>
      <c r="Y18" s="146">
        <f t="shared" si="9"/>
        <v>0.17567567567567569</v>
      </c>
    </row>
    <row r="19" spans="1:25" ht="18.5">
      <c r="A19" s="33" t="s">
        <v>12</v>
      </c>
      <c r="B19" s="139">
        <v>2010.6666666666663</v>
      </c>
      <c r="C19" s="139">
        <v>6563.9999999999991</v>
      </c>
      <c r="D19" s="139">
        <v>296</v>
      </c>
      <c r="E19" s="139">
        <v>773</v>
      </c>
      <c r="F19" s="139" t="s">
        <v>176</v>
      </c>
      <c r="G19" s="139">
        <v>34</v>
      </c>
      <c r="H19" s="139">
        <v>0</v>
      </c>
      <c r="I19" s="139">
        <v>0</v>
      </c>
      <c r="J19" s="139">
        <f t="shared" si="0"/>
        <v>7370.9999999999991</v>
      </c>
      <c r="K19" s="71"/>
      <c r="L19" s="139">
        <f t="shared" si="1"/>
        <v>7336.9999999999991</v>
      </c>
      <c r="M19" s="146">
        <v>0.14634804784103125</v>
      </c>
      <c r="N19" s="139">
        <f>M19*L19</f>
        <v>1073.7556270096461</v>
      </c>
      <c r="O19" s="146">
        <f t="shared" si="6"/>
        <v>0.14567299240396775</v>
      </c>
      <c r="P19" s="146">
        <f t="shared" si="2"/>
        <v>4.6126712793379465E-3</v>
      </c>
      <c r="Q19" s="146">
        <f t="shared" si="7"/>
        <v>0</v>
      </c>
      <c r="R19" s="146"/>
      <c r="S19" s="146">
        <f t="shared" si="3"/>
        <v>4.0157373490706826E-2</v>
      </c>
      <c r="T19" s="146">
        <v>4.0700040700040704E-4</v>
      </c>
      <c r="U19" s="146">
        <f t="shared" si="8"/>
        <v>0</v>
      </c>
      <c r="V19" s="58"/>
      <c r="W19" s="146">
        <f t="shared" si="4"/>
        <v>0.38292367399741267</v>
      </c>
      <c r="X19" s="146">
        <v>8.8235294117647065E-2</v>
      </c>
      <c r="Y19" s="146">
        <f t="shared" si="9"/>
        <v>0</v>
      </c>
    </row>
    <row r="20" spans="1:25" ht="18.5">
      <c r="A20" s="34" t="s">
        <v>23</v>
      </c>
      <c r="B20" s="139">
        <v>45958.999999999993</v>
      </c>
      <c r="C20" s="139">
        <v>145831.33333333331</v>
      </c>
      <c r="D20" s="139">
        <v>5819</v>
      </c>
      <c r="E20" s="139">
        <v>25510</v>
      </c>
      <c r="F20" s="139">
        <v>798</v>
      </c>
      <c r="G20" s="139">
        <v>3943</v>
      </c>
      <c r="H20" s="139">
        <v>453</v>
      </c>
      <c r="I20" s="139">
        <v>1706</v>
      </c>
      <c r="J20" s="139">
        <f t="shared" si="0"/>
        <v>176990.33333333331</v>
      </c>
      <c r="K20" s="71"/>
      <c r="L20" s="139">
        <f t="shared" si="1"/>
        <v>171341.33333333331</v>
      </c>
      <c r="M20" s="147">
        <v>0.19288246904931344</v>
      </c>
      <c r="N20" s="148">
        <f t="shared" si="5"/>
        <v>33048.73942353476</v>
      </c>
      <c r="O20" s="147">
        <f t="shared" si="6"/>
        <v>0.18672623979577846</v>
      </c>
      <c r="P20" s="147">
        <f t="shared" si="2"/>
        <v>2.2278052850343996E-2</v>
      </c>
      <c r="Q20" s="147">
        <f t="shared" si="7"/>
        <v>9.6389444997937758E-3</v>
      </c>
      <c r="R20" s="147"/>
      <c r="S20" s="147">
        <f t="shared" si="3"/>
        <v>3.2877501784466578E-2</v>
      </c>
      <c r="T20" s="147">
        <f>F20/J20</f>
        <v>4.5087208152610973E-3</v>
      </c>
      <c r="U20" s="147">
        <f t="shared" si="8"/>
        <v>2.5594618161820515E-3</v>
      </c>
      <c r="V20" s="58"/>
      <c r="W20" s="147">
        <f t="shared" si="4"/>
        <v>0.22810662485299882</v>
      </c>
      <c r="X20" s="147">
        <f>IFERROR(F20/G20,0)</f>
        <v>0.20238397159523205</v>
      </c>
      <c r="Y20" s="147">
        <f t="shared" si="9"/>
        <v>0.26553341148886284</v>
      </c>
    </row>
    <row r="21" spans="1:25" ht="18.5">
      <c r="A21" s="71"/>
      <c r="B21" s="139"/>
      <c r="C21" s="139"/>
      <c r="D21" s="139"/>
      <c r="E21" s="139"/>
      <c r="F21" s="139"/>
      <c r="G21" s="139"/>
      <c r="H21" s="139"/>
      <c r="I21" s="139"/>
      <c r="J21" s="71"/>
      <c r="K21" s="71"/>
      <c r="L21" s="71"/>
      <c r="M21" s="149"/>
      <c r="S21" s="144"/>
      <c r="T21" s="144"/>
      <c r="U21" s="144"/>
      <c r="V21" s="58"/>
      <c r="W21" s="146"/>
      <c r="X21" s="146"/>
      <c r="Y21" s="146"/>
    </row>
    <row r="22" spans="1:25">
      <c r="A22" s="71" t="s">
        <v>177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</row>
    <row r="23" spans="1:25" ht="18">
      <c r="A23" s="71"/>
      <c r="B23" s="71"/>
      <c r="C23" s="71"/>
      <c r="D23" s="139"/>
      <c r="E23" s="71"/>
      <c r="F23" s="139"/>
      <c r="G23" s="71"/>
      <c r="H23" s="71"/>
      <c r="I23" s="71"/>
      <c r="J23" s="71"/>
      <c r="K23" s="71"/>
      <c r="L23" s="71"/>
    </row>
    <row r="24" spans="1:25" ht="18">
      <c r="A24" s="71"/>
      <c r="B24" s="71"/>
      <c r="C24" s="71"/>
      <c r="D24" s="139"/>
      <c r="E24" s="71"/>
      <c r="F24" s="139"/>
      <c r="G24" s="71"/>
      <c r="H24" s="71"/>
      <c r="I24" s="71"/>
      <c r="J24" s="71"/>
      <c r="K24" s="71"/>
      <c r="L24" s="71"/>
    </row>
  </sheetData>
  <mergeCells count="17">
    <mergeCell ref="W3:W4"/>
    <mergeCell ref="X3:X4"/>
    <mergeCell ref="Y3:Y4"/>
    <mergeCell ref="T3:T4"/>
    <mergeCell ref="U3:U4"/>
    <mergeCell ref="S3:S4"/>
    <mergeCell ref="L3:L4"/>
    <mergeCell ref="O3:O4"/>
    <mergeCell ref="P3:P4"/>
    <mergeCell ref="Q3:Q4"/>
    <mergeCell ref="M3:M4"/>
    <mergeCell ref="N3:N4"/>
    <mergeCell ref="B3:C3"/>
    <mergeCell ref="D3:E3"/>
    <mergeCell ref="F3:G3"/>
    <mergeCell ref="H3:I3"/>
    <mergeCell ref="J3:J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9DAD-2836-6544-BC55-3B1F2F6DEDA0}">
  <sheetPr codeName="Sheet12"/>
  <dimension ref="A1:N44"/>
  <sheetViews>
    <sheetView zoomScale="110" zoomScaleNormal="110" workbookViewId="0">
      <selection activeCell="C3" sqref="C3"/>
    </sheetView>
  </sheetViews>
  <sheetFormatPr defaultColWidth="10.90625" defaultRowHeight="14.5"/>
  <cols>
    <col min="1" max="1" width="36.36328125" customWidth="1"/>
    <col min="2" max="4" width="16.36328125" customWidth="1"/>
    <col min="5" max="5" width="19.36328125" customWidth="1"/>
    <col min="6" max="10" width="16.36328125" customWidth="1"/>
    <col min="12" max="12" width="13.6328125" bestFit="1" customWidth="1"/>
  </cols>
  <sheetData>
    <row r="1" spans="1:14">
      <c r="A1" s="191" t="s">
        <v>13</v>
      </c>
      <c r="B1" s="191" t="s">
        <v>79</v>
      </c>
      <c r="C1" s="191" t="s">
        <v>83</v>
      </c>
      <c r="D1" s="191" t="s">
        <v>84</v>
      </c>
      <c r="E1" s="191" t="s">
        <v>62</v>
      </c>
      <c r="F1" s="71"/>
      <c r="G1" s="71"/>
      <c r="H1" s="71"/>
      <c r="I1" s="71"/>
      <c r="J1" s="71"/>
      <c r="K1" s="71"/>
      <c r="L1" s="71"/>
      <c r="M1" s="71"/>
      <c r="N1" s="71"/>
    </row>
    <row r="2" spans="1:14">
      <c r="A2" s="33" t="s">
        <v>1</v>
      </c>
      <c r="B2" s="138">
        <f>VLOOKUP(A2,'School Data'!B2:AB18,4,FALSE)</f>
        <v>2321.6666666666665</v>
      </c>
      <c r="C2" s="113">
        <f>IF(B2&lt;$B$20,1-B2/$B$20,0)*$B$19</f>
        <v>0.39776250000000002</v>
      </c>
      <c r="D2" s="189">
        <f>C2*'Model Costs and Assumptions'!$C$7</f>
        <v>772.16440837499999</v>
      </c>
      <c r="E2" s="189">
        <f>D2*B2</f>
        <v>1792708.3681106248</v>
      </c>
      <c r="F2" s="95"/>
      <c r="G2" s="114"/>
      <c r="H2" s="4"/>
      <c r="I2" s="16"/>
      <c r="J2" s="16"/>
      <c r="K2" s="16"/>
      <c r="L2" s="71"/>
      <c r="M2" s="71"/>
      <c r="N2" s="71"/>
    </row>
    <row r="3" spans="1:14">
      <c r="A3" s="33" t="s">
        <v>2</v>
      </c>
      <c r="B3" s="138">
        <f>VLOOKUP(A3,'School Data'!B3:AB18,4,FALSE)</f>
        <v>6339.3333333333321</v>
      </c>
      <c r="C3" s="113">
        <f>IF(B3&lt;$B$20,1-B3/$B$20,0)*$B$19</f>
        <v>0.30736500000000005</v>
      </c>
      <c r="D3" s="189">
        <f>C3*'Model Costs and Assumptions'!$C$7</f>
        <v>596.67845355000009</v>
      </c>
      <c r="E3" s="189">
        <f t="shared" ref="E3:E16" si="0">D3*B3</f>
        <v>3782543.6098712999</v>
      </c>
      <c r="F3" s="95"/>
      <c r="G3" s="114"/>
      <c r="H3" s="4"/>
      <c r="I3" s="16"/>
      <c r="J3" s="16"/>
      <c r="K3" s="16"/>
      <c r="L3" s="71"/>
      <c r="M3" s="71"/>
      <c r="N3" s="71"/>
    </row>
    <row r="4" spans="1:14">
      <c r="A4" s="33" t="s">
        <v>3</v>
      </c>
      <c r="B4" s="138">
        <f>VLOOKUP(A4,'School Data'!B4:AB19,4,FALSE)</f>
        <v>4411.6666666666661</v>
      </c>
      <c r="C4" s="113">
        <f t="shared" ref="C4:C17" si="1">IF(B4&lt;$B$20,1-B4/$B$20,0)*$B$19</f>
        <v>0.35073749999999998</v>
      </c>
      <c r="D4" s="189">
        <f>C4*'Model Costs and Assumptions'!$C$7</f>
        <v>680.87618662499995</v>
      </c>
      <c r="E4" s="189">
        <f t="shared" si="0"/>
        <v>3003798.7766606244</v>
      </c>
      <c r="F4" s="95"/>
      <c r="G4" s="114"/>
      <c r="H4" s="4"/>
      <c r="I4" s="16"/>
      <c r="J4" s="16"/>
      <c r="K4" s="16"/>
      <c r="L4" s="71"/>
      <c r="M4" s="71"/>
      <c r="N4" s="71"/>
    </row>
    <row r="5" spans="1:14">
      <c r="A5" s="33" t="s">
        <v>4</v>
      </c>
      <c r="B5" s="138">
        <f>VLOOKUP(A5,'School Data'!B5:AB20,4,FALSE)</f>
        <v>20425.333333333332</v>
      </c>
      <c r="C5" s="113">
        <f t="shared" si="1"/>
        <v>0</v>
      </c>
      <c r="D5" s="189">
        <f>C5*'Model Costs and Assumptions'!$C$7</f>
        <v>0</v>
      </c>
      <c r="E5" s="189">
        <f t="shared" si="0"/>
        <v>0</v>
      </c>
      <c r="F5" s="95"/>
      <c r="G5" s="114"/>
      <c r="H5" s="4"/>
      <c r="I5" s="16"/>
      <c r="J5" s="16"/>
      <c r="K5" s="16"/>
      <c r="L5" s="71"/>
      <c r="M5" s="71"/>
      <c r="N5" s="71"/>
    </row>
    <row r="6" spans="1:14">
      <c r="A6" s="33" t="s">
        <v>5</v>
      </c>
      <c r="B6" s="138">
        <f>VLOOKUP(A6,'School Data'!B6:AB21,4,FALSE)</f>
        <v>5942.6666666666661</v>
      </c>
      <c r="C6" s="113">
        <f t="shared" si="1"/>
        <v>0.31629000000000007</v>
      </c>
      <c r="D6" s="189">
        <f>C6*'Model Costs and Assumptions'!$C$7</f>
        <v>614.0042883000001</v>
      </c>
      <c r="E6" s="189">
        <f t="shared" si="0"/>
        <v>3648822.8172708</v>
      </c>
      <c r="F6" s="95"/>
      <c r="G6" s="114"/>
      <c r="H6" s="4"/>
      <c r="I6" s="16"/>
      <c r="J6" s="16"/>
      <c r="K6" s="16"/>
      <c r="L6" s="71"/>
      <c r="M6" s="71"/>
      <c r="N6" s="71"/>
    </row>
    <row r="7" spans="1:14">
      <c r="A7" s="33" t="s">
        <v>6</v>
      </c>
      <c r="B7" s="138">
        <f>VLOOKUP(A7,'School Data'!B7:AB22,4,FALSE)</f>
        <v>15855.666666666666</v>
      </c>
      <c r="C7" s="113">
        <f t="shared" si="1"/>
        <v>9.3247500000000025E-2</v>
      </c>
      <c r="D7" s="189">
        <f>C7*'Model Costs and Assumptions'!$C$7</f>
        <v>181.01857432500006</v>
      </c>
      <c r="E7" s="189">
        <f t="shared" si="0"/>
        <v>2870170.1749724257</v>
      </c>
      <c r="F7" s="95"/>
      <c r="G7" s="114"/>
      <c r="H7" s="4"/>
      <c r="I7" s="16"/>
      <c r="J7" s="16"/>
      <c r="K7" s="16"/>
      <c r="L7" s="71"/>
      <c r="M7" s="71"/>
      <c r="N7" s="71"/>
    </row>
    <row r="8" spans="1:14">
      <c r="A8" s="33" t="s">
        <v>7</v>
      </c>
      <c r="B8" s="138">
        <f>VLOOKUP(A8,'School Data'!B8:AB23,4,FALSE)+'School Data'!E10</f>
        <v>11062.333333333332</v>
      </c>
      <c r="C8" s="113">
        <f t="shared" si="1"/>
        <v>0.20109750000000004</v>
      </c>
      <c r="D8" s="189">
        <f>C8*'Model Costs and Assumptions'!$C$7</f>
        <v>390.38454382500009</v>
      </c>
      <c r="E8" s="189">
        <f t="shared" si="0"/>
        <v>4318563.9519734252</v>
      </c>
      <c r="F8" s="95"/>
      <c r="G8" s="114"/>
      <c r="H8" s="4"/>
      <c r="I8" s="16"/>
      <c r="J8" s="16"/>
      <c r="K8" s="16"/>
      <c r="L8" s="71"/>
      <c r="M8" s="71"/>
      <c r="N8" s="71"/>
    </row>
    <row r="9" spans="1:14">
      <c r="A9" s="33" t="s">
        <v>121</v>
      </c>
      <c r="B9" s="138">
        <v>0</v>
      </c>
      <c r="C9" s="113">
        <f t="shared" si="1"/>
        <v>0.45</v>
      </c>
      <c r="D9" s="189">
        <f>C9*'Model Costs and Assumptions'!$C$7</f>
        <v>873.57150000000001</v>
      </c>
      <c r="E9" s="189">
        <f>D9*B9</f>
        <v>0</v>
      </c>
      <c r="F9" s="95"/>
      <c r="G9" s="114"/>
      <c r="H9" s="4"/>
      <c r="I9" s="16"/>
      <c r="J9" s="16"/>
      <c r="K9" s="16"/>
      <c r="L9" s="71"/>
      <c r="M9" s="71"/>
      <c r="N9" s="71"/>
    </row>
    <row r="10" spans="1:14">
      <c r="A10" s="33" t="s">
        <v>8</v>
      </c>
      <c r="B10" s="138">
        <f>VLOOKUP(A10,'School Data'!B10:AB25,4,FALSE)</f>
        <v>12660</v>
      </c>
      <c r="C10" s="113">
        <f t="shared" si="1"/>
        <v>0.16514999999999999</v>
      </c>
      <c r="D10" s="189">
        <f>C10*'Model Costs and Assumptions'!$C$7</f>
        <v>320.60074049999997</v>
      </c>
      <c r="E10" s="189">
        <f t="shared" si="0"/>
        <v>4058805.3747299998</v>
      </c>
      <c r="F10" s="95"/>
      <c r="G10" s="114"/>
      <c r="H10" s="4"/>
      <c r="I10" s="16"/>
      <c r="J10" s="16"/>
      <c r="K10" s="16"/>
      <c r="L10" s="71"/>
      <c r="M10" s="71"/>
      <c r="N10" s="71"/>
    </row>
    <row r="11" spans="1:14">
      <c r="A11" s="33" t="s">
        <v>9</v>
      </c>
      <c r="B11" s="138">
        <f>VLOOKUP(A11,'School Data'!B11:AB26,4,FALSE)+'School Data'!E13</f>
        <v>33026</v>
      </c>
      <c r="C11" s="113">
        <f t="shared" si="1"/>
        <v>0</v>
      </c>
      <c r="D11" s="189">
        <f>C11*'Model Costs and Assumptions'!$C$7</f>
        <v>0</v>
      </c>
      <c r="E11" s="189">
        <f t="shared" si="0"/>
        <v>0</v>
      </c>
      <c r="F11" s="95"/>
      <c r="G11" s="114"/>
      <c r="H11" s="4"/>
      <c r="I11" s="16"/>
      <c r="J11" s="16"/>
      <c r="K11" s="16"/>
      <c r="L11" s="71"/>
      <c r="M11" s="71"/>
      <c r="N11" s="71"/>
    </row>
    <row r="12" spans="1:14">
      <c r="A12" s="33" t="s">
        <v>126</v>
      </c>
      <c r="B12" s="138">
        <v>0</v>
      </c>
      <c r="C12" s="113">
        <f t="shared" si="1"/>
        <v>0.45</v>
      </c>
      <c r="D12" s="189">
        <f>C12*'Model Costs and Assumptions'!$C$7</f>
        <v>873.57150000000001</v>
      </c>
      <c r="E12" s="189">
        <f t="shared" si="0"/>
        <v>0</v>
      </c>
      <c r="F12" s="95"/>
      <c r="G12" s="114"/>
      <c r="H12" s="4"/>
      <c r="I12" s="16"/>
      <c r="J12" s="16"/>
      <c r="K12" s="16"/>
      <c r="L12" s="71"/>
      <c r="M12" s="71"/>
      <c r="N12" s="71"/>
    </row>
    <row r="13" spans="1:14">
      <c r="A13" s="33" t="s">
        <v>10</v>
      </c>
      <c r="B13" s="138">
        <f>VLOOKUP(A13,'School Data'!B13:AB28,4,FALSE)</f>
        <v>3936.6666666666661</v>
      </c>
      <c r="C13" s="113">
        <f t="shared" si="1"/>
        <v>0.361425</v>
      </c>
      <c r="D13" s="189">
        <f>C13*'Model Costs and Assumptions'!$C$7</f>
        <v>701.62350975000004</v>
      </c>
      <c r="E13" s="189">
        <f t="shared" si="0"/>
        <v>2762057.8833824997</v>
      </c>
      <c r="F13" s="95"/>
      <c r="G13" s="114"/>
      <c r="H13" s="4"/>
      <c r="I13" s="16"/>
      <c r="J13" s="16"/>
      <c r="K13" s="16"/>
      <c r="L13" s="71"/>
      <c r="M13" s="71"/>
      <c r="N13" s="71"/>
    </row>
    <row r="14" spans="1:14">
      <c r="A14" s="33" t="s">
        <v>11</v>
      </c>
      <c r="B14" s="138">
        <f>VLOOKUP(A14,'School Data'!B14:AB29,4,FALSE)+'School Data'!E16</f>
        <v>53639.666666666657</v>
      </c>
      <c r="C14" s="113">
        <f t="shared" si="1"/>
        <v>0</v>
      </c>
      <c r="D14" s="189">
        <f>C14*'Model Costs and Assumptions'!$C$7</f>
        <v>0</v>
      </c>
      <c r="E14" s="189">
        <f t="shared" si="0"/>
        <v>0</v>
      </c>
      <c r="F14" s="95"/>
      <c r="G14" s="114"/>
      <c r="H14" s="4"/>
      <c r="I14" s="16"/>
      <c r="J14" s="16"/>
      <c r="K14" s="16"/>
      <c r="L14" s="71"/>
      <c r="M14" s="71"/>
      <c r="N14" s="71"/>
    </row>
    <row r="15" spans="1:14">
      <c r="A15" s="33" t="s">
        <v>127</v>
      </c>
      <c r="B15" s="138">
        <v>0</v>
      </c>
      <c r="C15" s="113">
        <f t="shared" si="1"/>
        <v>0.45</v>
      </c>
      <c r="D15" s="189">
        <f>C15*'Model Costs and Assumptions'!$C$7</f>
        <v>873.57150000000001</v>
      </c>
      <c r="E15" s="189">
        <f t="shared" si="0"/>
        <v>0</v>
      </c>
      <c r="F15" s="95"/>
      <c r="G15" s="114"/>
      <c r="H15" s="4"/>
      <c r="I15" s="16"/>
      <c r="J15" s="16"/>
      <c r="K15" s="16"/>
      <c r="L15" s="71"/>
      <c r="M15" s="71"/>
      <c r="N15" s="71"/>
    </row>
    <row r="16" spans="1:14">
      <c r="A16" s="33" t="s">
        <v>12</v>
      </c>
      <c r="B16" s="138">
        <f>VLOOKUP(A16,'School Data'!B16:AB30,4,FALSE)</f>
        <v>7369.6666666666661</v>
      </c>
      <c r="C16" s="113">
        <f t="shared" si="1"/>
        <v>0.28418250000000006</v>
      </c>
      <c r="D16" s="189">
        <f>C16*'Model Costs and Assumptions'!$C$7</f>
        <v>551.67496177500016</v>
      </c>
      <c r="E16" s="189">
        <f t="shared" si="0"/>
        <v>4065660.5766278259</v>
      </c>
      <c r="F16" s="95"/>
      <c r="G16" s="114"/>
      <c r="H16" s="4"/>
      <c r="I16" s="16"/>
      <c r="J16" s="16"/>
      <c r="K16" s="16"/>
      <c r="L16" s="71"/>
      <c r="M16" s="71"/>
      <c r="N16" s="71"/>
    </row>
    <row r="17" spans="1:14">
      <c r="A17" s="97" t="s">
        <v>23</v>
      </c>
      <c r="B17" s="187">
        <f>VLOOKUP(A17,'School Data'!B17:AB28,4,FALSE)</f>
        <v>176990.66666666666</v>
      </c>
      <c r="C17" s="188">
        <f t="shared" si="1"/>
        <v>0</v>
      </c>
      <c r="D17" s="190">
        <f>C17*'Model Costs and Assumptions'!$C$7</f>
        <v>0</v>
      </c>
      <c r="E17" s="190">
        <f>SUM(E2:E16)</f>
        <v>30303131.533599522</v>
      </c>
      <c r="F17" s="95"/>
      <c r="G17" s="115"/>
      <c r="H17" s="6"/>
      <c r="I17" s="16"/>
      <c r="K17" s="16"/>
      <c r="L17" s="71"/>
      <c r="M17" s="71"/>
      <c r="N17" s="71"/>
    </row>
    <row r="18" spans="1:14">
      <c r="A18" s="71"/>
      <c r="B18" s="137"/>
      <c r="C18" s="137"/>
      <c r="D18" s="137"/>
      <c r="E18" s="137"/>
      <c r="F18" s="71"/>
      <c r="G18" s="71"/>
      <c r="H18" s="71"/>
      <c r="I18" s="71"/>
      <c r="J18" s="71"/>
      <c r="K18" s="71"/>
      <c r="L18" s="71"/>
      <c r="M18" s="71"/>
      <c r="N18" s="71"/>
    </row>
    <row r="19" spans="1:14">
      <c r="A19" s="71" t="s">
        <v>82</v>
      </c>
      <c r="B19" s="113">
        <v>0.45</v>
      </c>
      <c r="C19" s="137"/>
      <c r="D19" s="137"/>
      <c r="E19" s="137"/>
      <c r="F19" s="71"/>
      <c r="G19" s="71"/>
      <c r="H19" s="71"/>
      <c r="I19" s="71"/>
      <c r="J19" s="71"/>
      <c r="K19" s="71"/>
      <c r="L19" s="71"/>
      <c r="M19" s="71"/>
      <c r="N19" s="71"/>
    </row>
    <row r="20" spans="1:14">
      <c r="A20" s="71" t="s">
        <v>85</v>
      </c>
      <c r="B20" s="138">
        <v>20000</v>
      </c>
      <c r="C20" s="137"/>
      <c r="D20" s="137"/>
      <c r="E20" s="137"/>
      <c r="F20" s="71"/>
      <c r="G20" s="71"/>
      <c r="H20" s="71"/>
      <c r="I20" s="71"/>
      <c r="J20" s="71"/>
      <c r="K20" s="71"/>
      <c r="L20" s="71"/>
      <c r="M20" s="71"/>
      <c r="N20" s="71"/>
    </row>
    <row r="21" spans="1:14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1:14">
      <c r="A22" s="71"/>
      <c r="B22" s="93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1:14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1:14">
      <c r="A25" s="71"/>
      <c r="B25" s="71"/>
      <c r="C25" s="71"/>
      <c r="D25" s="71"/>
      <c r="E25" s="71"/>
      <c r="F25" s="71"/>
      <c r="G25" s="71"/>
      <c r="H25" s="71"/>
      <c r="I25" s="71"/>
      <c r="J25" s="110"/>
      <c r="K25" s="110"/>
      <c r="L25" s="71"/>
      <c r="M25" s="71"/>
      <c r="N25" s="71"/>
    </row>
    <row r="26" spans="1:14" ht="18">
      <c r="A26" s="99"/>
      <c r="B26" s="100"/>
      <c r="C26" s="100"/>
      <c r="D26" s="100"/>
      <c r="E26" s="100"/>
      <c r="F26" s="100"/>
      <c r="G26" s="100"/>
      <c r="H26" s="100"/>
      <c r="I26" s="101"/>
      <c r="J26" s="111"/>
      <c r="K26" s="97"/>
      <c r="L26" s="101"/>
      <c r="M26" s="101"/>
      <c r="N26" s="101"/>
    </row>
    <row r="27" spans="1:14" ht="18">
      <c r="A27" s="98"/>
      <c r="B27" s="102"/>
      <c r="C27" s="103"/>
      <c r="D27" s="103"/>
      <c r="E27" s="103"/>
      <c r="F27" s="103"/>
      <c r="G27" s="104"/>
      <c r="H27" s="103"/>
      <c r="I27" s="103"/>
      <c r="J27" s="109"/>
      <c r="K27" s="7"/>
      <c r="L27" s="112"/>
      <c r="M27" s="71"/>
      <c r="N27" s="71"/>
    </row>
    <row r="28" spans="1:14" ht="18">
      <c r="A28" s="98"/>
      <c r="B28" s="102"/>
      <c r="C28" s="103"/>
      <c r="D28" s="103"/>
      <c r="E28" s="103"/>
      <c r="F28" s="103"/>
      <c r="G28" s="104"/>
      <c r="H28" s="103"/>
      <c r="I28" s="103"/>
      <c r="J28" s="109"/>
      <c r="K28" s="7"/>
      <c r="L28" s="112"/>
      <c r="M28" s="71"/>
      <c r="N28" s="71"/>
    </row>
    <row r="29" spans="1:14" ht="18">
      <c r="A29" s="98"/>
      <c r="B29" s="102"/>
      <c r="C29" s="103"/>
      <c r="D29" s="103"/>
      <c r="E29" s="103"/>
      <c r="F29" s="103"/>
      <c r="G29" s="104"/>
      <c r="H29" s="103"/>
      <c r="I29" s="103"/>
      <c r="J29" s="109"/>
      <c r="K29" s="7"/>
      <c r="L29" s="112"/>
      <c r="M29" s="71"/>
      <c r="N29" s="71"/>
    </row>
    <row r="30" spans="1:14" ht="18">
      <c r="A30" s="98"/>
      <c r="B30" s="102"/>
      <c r="C30" s="103"/>
      <c r="D30" s="103"/>
      <c r="E30" s="103"/>
      <c r="F30" s="103"/>
      <c r="G30" s="104"/>
      <c r="H30" s="103"/>
      <c r="I30" s="103"/>
      <c r="J30" s="109"/>
      <c r="K30" s="7"/>
      <c r="L30" s="112"/>
      <c r="M30" s="71"/>
      <c r="N30" s="71"/>
    </row>
    <row r="31" spans="1:14" ht="18">
      <c r="A31" s="98"/>
      <c r="B31" s="102"/>
      <c r="C31" s="103"/>
      <c r="D31" s="103"/>
      <c r="E31" s="103"/>
      <c r="F31" s="103"/>
      <c r="G31" s="104"/>
      <c r="H31" s="103"/>
      <c r="I31" s="103"/>
      <c r="J31" s="109"/>
      <c r="K31" s="7"/>
      <c r="L31" s="112"/>
      <c r="M31" s="71"/>
      <c r="N31" s="71"/>
    </row>
    <row r="32" spans="1:14" ht="18">
      <c r="A32" s="98"/>
      <c r="B32" s="102"/>
      <c r="C32" s="103"/>
      <c r="D32" s="103"/>
      <c r="E32" s="103"/>
      <c r="F32" s="103"/>
      <c r="G32" s="104"/>
      <c r="H32" s="103"/>
      <c r="I32" s="103"/>
      <c r="J32" s="109"/>
      <c r="K32" s="7"/>
      <c r="L32" s="112"/>
      <c r="M32" s="71"/>
      <c r="N32" s="71"/>
    </row>
    <row r="33" spans="1:14" ht="18">
      <c r="A33" s="98"/>
      <c r="B33" s="102"/>
      <c r="C33" s="103"/>
      <c r="D33" s="103"/>
      <c r="E33" s="103"/>
      <c r="F33" s="103"/>
      <c r="G33" s="104"/>
      <c r="H33" s="103"/>
      <c r="I33" s="103"/>
      <c r="J33" s="109"/>
      <c r="K33" s="7"/>
      <c r="L33" s="112"/>
      <c r="M33" s="71"/>
      <c r="N33" s="71"/>
    </row>
    <row r="34" spans="1:14" ht="18">
      <c r="A34" s="98"/>
      <c r="B34" s="102"/>
      <c r="C34" s="103"/>
      <c r="D34" s="103"/>
      <c r="E34" s="103"/>
      <c r="F34" s="103"/>
      <c r="G34" s="104"/>
      <c r="H34" s="103"/>
      <c r="I34" s="103"/>
      <c r="J34" s="109"/>
      <c r="K34" s="7"/>
      <c r="L34" s="112"/>
      <c r="M34" s="71"/>
      <c r="N34" s="71"/>
    </row>
    <row r="35" spans="1:14" ht="18">
      <c r="A35" s="98"/>
      <c r="B35" s="102"/>
      <c r="C35" s="103"/>
      <c r="D35" s="103"/>
      <c r="E35" s="103"/>
      <c r="F35" s="103"/>
      <c r="G35" s="104"/>
      <c r="H35" s="103"/>
      <c r="I35" s="103"/>
      <c r="J35" s="109"/>
      <c r="K35" s="7"/>
      <c r="L35" s="112"/>
      <c r="M35" s="71"/>
      <c r="N35" s="71"/>
    </row>
    <row r="36" spans="1:14" ht="18">
      <c r="A36" s="98"/>
      <c r="B36" s="102"/>
      <c r="C36" s="103"/>
      <c r="D36" s="103"/>
      <c r="E36" s="103"/>
      <c r="F36" s="103"/>
      <c r="G36" s="104"/>
      <c r="H36" s="103"/>
      <c r="I36" s="103"/>
      <c r="J36" s="109"/>
      <c r="K36" s="7"/>
      <c r="L36" s="112"/>
      <c r="M36" s="71"/>
      <c r="N36" s="71"/>
    </row>
    <row r="37" spans="1:14" ht="18">
      <c r="A37" s="98"/>
      <c r="B37" s="102"/>
      <c r="C37" s="103"/>
      <c r="D37" s="103"/>
      <c r="E37" s="103"/>
      <c r="F37" s="103"/>
      <c r="G37" s="104"/>
      <c r="H37" s="103"/>
      <c r="I37" s="103"/>
      <c r="J37" s="109"/>
      <c r="K37" s="7"/>
      <c r="L37" s="112"/>
      <c r="M37" s="71"/>
      <c r="N37" s="71"/>
    </row>
    <row r="38" spans="1:14" ht="18">
      <c r="A38" s="98"/>
      <c r="B38" s="102"/>
      <c r="C38" s="103"/>
      <c r="D38" s="103"/>
      <c r="E38" s="103"/>
      <c r="F38" s="103"/>
      <c r="G38" s="104"/>
      <c r="H38" s="103"/>
      <c r="I38" s="103"/>
      <c r="J38" s="109"/>
      <c r="K38" s="7"/>
      <c r="L38" s="112"/>
      <c r="M38" s="71"/>
      <c r="N38" s="71"/>
    </row>
    <row r="39" spans="1:14" ht="18">
      <c r="A39" s="79"/>
      <c r="B39" s="105"/>
      <c r="C39" s="108"/>
      <c r="D39" s="106"/>
      <c r="E39" s="107"/>
      <c r="F39" s="107"/>
      <c r="G39" s="107"/>
      <c r="H39" s="107"/>
      <c r="I39" s="106"/>
      <c r="J39" s="109"/>
      <c r="K39" s="7"/>
      <c r="L39" s="112"/>
      <c r="M39" s="97"/>
      <c r="N39" s="97"/>
    </row>
    <row r="40" spans="1:14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95"/>
      <c r="M40" s="71"/>
      <c r="N40" s="71"/>
    </row>
    <row r="41" spans="1:14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</row>
    <row r="42" spans="1:14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</row>
    <row r="43" spans="1:14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</row>
    <row r="44" spans="1:14">
      <c r="A44" s="71"/>
      <c r="B44" s="93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Institution Summary</vt:lpstr>
      <vt:lpstr>Institutional Base Calc</vt:lpstr>
      <vt:lpstr>Instituional Equity Calc</vt:lpstr>
      <vt:lpstr>ESS Calculation</vt:lpstr>
      <vt:lpstr>School Data</vt:lpstr>
      <vt:lpstr>Model Costs and Assumptions</vt:lpstr>
      <vt:lpstr>ESS Index</vt:lpstr>
      <vt:lpstr>High-Cost Enrollment</vt:lpstr>
      <vt:lpstr>School Size Adjustment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Moss</dc:creator>
  <cp:lastModifiedBy>Ostro, Ginger</cp:lastModifiedBy>
  <dcterms:created xsi:type="dcterms:W3CDTF">2023-02-15T15:41:21Z</dcterms:created>
  <dcterms:modified xsi:type="dcterms:W3CDTF">2024-03-27T19:28:07Z</dcterms:modified>
</cp:coreProperties>
</file>