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fileSharing readOnlyRecommended="1"/>
  <workbookPr hidePivotFieldList="1" defaultThemeVersion="166925"/>
  <mc:AlternateContent xmlns:mc="http://schemas.openxmlformats.org/markup-compatibility/2006">
    <mc:Choice Requires="x15">
      <x15ac:absPath xmlns:x15ac="http://schemas.microsoft.com/office/spreadsheetml/2010/11/ac" url="/Users/katielynnemorton/Desktop/"/>
    </mc:Choice>
  </mc:AlternateContent>
  <xr:revisionPtr revIDLastSave="0" documentId="8_{23EC66A8-82BF-3042-B772-4A720A6B7622}" xr6:coauthVersionLast="47" xr6:coauthVersionMax="47" xr10:uidLastSave="{00000000-0000-0000-0000-000000000000}"/>
  <bookViews>
    <workbookView xWindow="3420" yWindow="500" windowWidth="25380" windowHeight="16080" firstSheet="7" activeTab="14" xr2:uid="{E58AFF84-E4D1-4C2D-84CC-3187C88EF0EA}"/>
  </bookViews>
  <sheets>
    <sheet name="Model Comparison" sheetId="13" state="hidden" r:id="rId1"/>
    <sheet name="Institution Summary" sheetId="24" r:id="rId2"/>
    <sheet name="Institutional Base Calc" sheetId="27" r:id="rId3"/>
    <sheet name="Instituional Equity Calc" sheetId="14" r:id="rId4"/>
    <sheet name="ESS Calculation" sheetId="33" r:id="rId5"/>
    <sheet name="Adequacy Framework" sheetId="34" r:id="rId6"/>
    <sheet name="Per Student Base Funding" sheetId="11" r:id="rId7"/>
    <sheet name="Equity Adjustment Amounts" sheetId="19" r:id="rId8"/>
    <sheet name="Mock Resource Calc and Gap" sheetId="16" state="hidden" r:id="rId9"/>
    <sheet name="ESS Affordability Adjustment" sheetId="42" r:id="rId10"/>
    <sheet name="ESS Subsidy Student Counts" sheetId="32" r:id="rId11"/>
    <sheet name="Tier Counts" sheetId="23" r:id="rId12"/>
    <sheet name="High-Cost Programs" sheetId="31" r:id="rId13"/>
    <sheet name="O&amp;M" sheetId="43" r:id="rId14"/>
    <sheet name="Expend, FTE, Headcount, Sq Ft" sheetId="25" r:id="rId15"/>
    <sheet name="R&amp;E Pivot Table" sheetId="18" state="hidden" r:id="rId16"/>
    <sheet name="Rev &amp; Exp Sort" sheetId="7" state="hidden" r:id="rId17"/>
    <sheet name="Share of Exp by Rev source" sheetId="10" state="hidden" r:id="rId18"/>
  </sheets>
  <definedNames>
    <definedName name="_xlnm._FilterDatabase" localSheetId="9" hidden="1">'ESS Affordability Adjustment'!$B$14:$I$14</definedName>
    <definedName name="_xlnm._FilterDatabase" localSheetId="11" hidden="1">'Tier Counts'!#REF!</definedName>
  </definedNames>
  <calcPr calcId="191029"/>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27" l="1"/>
  <c r="V8" i="27"/>
  <c r="V7" i="27"/>
  <c r="V6" i="27"/>
  <c r="V5" i="27"/>
  <c r="P12" i="43"/>
  <c r="P5" i="27"/>
  <c r="L14" i="34"/>
  <c r="H15" i="42" l="1"/>
  <c r="M31" i="23"/>
  <c r="K36" i="11" l="1"/>
  <c r="W4" i="27"/>
  <c r="U9" i="27"/>
  <c r="T9" i="27"/>
  <c r="U8" i="27"/>
  <c r="T8" i="27"/>
  <c r="K32" i="11"/>
  <c r="K30" i="11"/>
  <c r="V4" i="27" l="1"/>
  <c r="C23" i="24" l="1"/>
  <c r="M7" i="23"/>
  <c r="P7" i="23" s="1"/>
  <c r="S5" i="14" s="1"/>
  <c r="M11" i="23"/>
  <c r="M10" i="23"/>
  <c r="M9" i="23"/>
  <c r="M8" i="23"/>
  <c r="T6" i="27"/>
  <c r="U6" i="27"/>
  <c r="T7" i="27"/>
  <c r="U7" i="27"/>
  <c r="U5" i="27"/>
  <c r="T5" i="27"/>
  <c r="J11" i="34"/>
  <c r="B14" i="43"/>
  <c r="K29" i="11" s="1"/>
  <c r="K19" i="11" s="1"/>
  <c r="W9" i="43"/>
  <c r="W13" i="43"/>
  <c r="W12" i="43"/>
  <c r="W11" i="43"/>
  <c r="W10" i="43"/>
  <c r="L13" i="43"/>
  <c r="M13" i="43" s="1"/>
  <c r="L10" i="43"/>
  <c r="M10" i="43" s="1"/>
  <c r="L11" i="43"/>
  <c r="M11" i="43" s="1"/>
  <c r="L12" i="43"/>
  <c r="Q12" i="43" s="1"/>
  <c r="L9" i="43"/>
  <c r="M9" i="43" s="1"/>
  <c r="D9" i="43"/>
  <c r="E14" i="43"/>
  <c r="E13" i="43"/>
  <c r="E12" i="43"/>
  <c r="E10" i="43"/>
  <c r="E11" i="43"/>
  <c r="E9" i="43"/>
  <c r="D13" i="43"/>
  <c r="D12" i="43"/>
  <c r="D11" i="43"/>
  <c r="D10" i="43"/>
  <c r="V9" i="19" l="1"/>
  <c r="V10" i="19" s="1"/>
  <c r="U9" i="19"/>
  <c r="U10" i="19" s="1"/>
  <c r="P4" i="27"/>
  <c r="F12" i="43"/>
  <c r="M12" i="43"/>
  <c r="S12" i="43" s="1"/>
  <c r="P9" i="43"/>
  <c r="Q9" i="43" s="1"/>
  <c r="S9" i="43" s="1"/>
  <c r="P10" i="43"/>
  <c r="Q10" i="43" s="1"/>
  <c r="S10" i="43" s="1"/>
  <c r="X12" i="43"/>
  <c r="P11" i="43"/>
  <c r="Q11" i="43" s="1"/>
  <c r="S11" i="43" s="1"/>
  <c r="F11" i="43"/>
  <c r="F10" i="43"/>
  <c r="F13" i="43"/>
  <c r="P13" i="43"/>
  <c r="Q13" i="43" s="1"/>
  <c r="S13" i="43" s="1"/>
  <c r="F9" i="43"/>
  <c r="C8" i="11"/>
  <c r="C9" i="11"/>
  <c r="C10" i="11"/>
  <c r="C11" i="11"/>
  <c r="C15" i="11"/>
  <c r="C24" i="24"/>
  <c r="C25" i="24"/>
  <c r="C26" i="24"/>
  <c r="C27" i="24"/>
  <c r="K33" i="11" l="1"/>
  <c r="W9" i="27"/>
  <c r="K20" i="11"/>
  <c r="X13" i="43"/>
  <c r="X10" i="43"/>
  <c r="X9" i="43"/>
  <c r="X11" i="43"/>
  <c r="L31" i="23"/>
  <c r="L32" i="23"/>
  <c r="L33" i="23"/>
  <c r="L34" i="23"/>
  <c r="L35" i="23"/>
  <c r="B11" i="23"/>
  <c r="E11" i="23" s="1"/>
  <c r="B10" i="23"/>
  <c r="K10" i="23" s="1"/>
  <c r="B9" i="23"/>
  <c r="G9" i="23" s="1"/>
  <c r="B8" i="23"/>
  <c r="C8" i="23" s="1"/>
  <c r="B7" i="23"/>
  <c r="K7" i="23" s="1"/>
  <c r="J3" i="31"/>
  <c r="D3" i="31"/>
  <c r="E49" i="25"/>
  <c r="AA2" i="14"/>
  <c r="Z2" i="14"/>
  <c r="W2" i="14"/>
  <c r="X2" i="14"/>
  <c r="Y2" i="14"/>
  <c r="V2" i="14"/>
  <c r="H5" i="27"/>
  <c r="I5" i="27"/>
  <c r="H6" i="27"/>
  <c r="I6" i="27"/>
  <c r="H7" i="27"/>
  <c r="I7" i="27"/>
  <c r="H8" i="27"/>
  <c r="I8" i="27"/>
  <c r="H9" i="27"/>
  <c r="I9" i="27"/>
  <c r="K4" i="27"/>
  <c r="J4" i="27"/>
  <c r="H18" i="42"/>
  <c r="H16" i="42"/>
  <c r="W8" i="27" l="1"/>
  <c r="W7" i="27"/>
  <c r="W6" i="27"/>
  <c r="W5" i="27"/>
  <c r="G10" i="23"/>
  <c r="I10" i="23"/>
  <c r="K11" i="23"/>
  <c r="E8" i="23"/>
  <c r="K8" i="23"/>
  <c r="C9" i="23"/>
  <c r="E9" i="23"/>
  <c r="E7" i="23"/>
  <c r="I9" i="23"/>
  <c r="I8" i="23"/>
  <c r="G7" i="23"/>
  <c r="K9" i="23"/>
  <c r="E10" i="23"/>
  <c r="G11" i="23"/>
  <c r="C7" i="23"/>
  <c r="G8" i="23"/>
  <c r="C10" i="23"/>
  <c r="I11" i="23"/>
  <c r="I7" i="23"/>
  <c r="C11" i="23"/>
  <c r="N31" i="23" l="1"/>
  <c r="M32" i="23"/>
  <c r="N32" i="23"/>
  <c r="M33" i="23"/>
  <c r="N33" i="23"/>
  <c r="M34" i="23"/>
  <c r="N34" i="23"/>
  <c r="M35" i="23"/>
  <c r="N35" i="23"/>
  <c r="J7" i="34" l="1"/>
  <c r="J6" i="34"/>
  <c r="J4" i="34"/>
  <c r="J3" i="34"/>
  <c r="F11" i="34"/>
  <c r="F10" i="34"/>
  <c r="D11" i="11" l="1"/>
  <c r="K18" i="11"/>
  <c r="H10" i="34" l="1"/>
  <c r="L10" i="34" s="1"/>
  <c r="J8" i="31" l="1"/>
  <c r="E50" i="25"/>
  <c r="E51" i="25"/>
  <c r="C7" i="27" s="1"/>
  <c r="E52" i="25"/>
  <c r="C8" i="14" s="1"/>
  <c r="E53" i="25"/>
  <c r="J4" i="31"/>
  <c r="J5" i="31"/>
  <c r="J6" i="31"/>
  <c r="J7" i="31"/>
  <c r="K8" i="31"/>
  <c r="K3" i="31"/>
  <c r="K4" i="31"/>
  <c r="K5" i="31"/>
  <c r="K6" i="31"/>
  <c r="K7" i="31"/>
  <c r="C3" i="11"/>
  <c r="P7" i="27" l="1"/>
  <c r="Q7" i="27"/>
  <c r="R7" i="27" s="1"/>
  <c r="P8" i="14"/>
  <c r="Q8" i="14"/>
  <c r="O8" i="14"/>
  <c r="C8" i="27"/>
  <c r="P8" i="27" s="1"/>
  <c r="E54" i="25"/>
  <c r="N7" i="27"/>
  <c r="C5" i="33"/>
  <c r="C15" i="24"/>
  <c r="C4" i="33"/>
  <c r="C14" i="24"/>
  <c r="C6" i="27"/>
  <c r="C5" i="27"/>
  <c r="C7" i="14"/>
  <c r="C8" i="33"/>
  <c r="C18" i="24"/>
  <c r="C9" i="14"/>
  <c r="C6" i="14"/>
  <c r="C6" i="33"/>
  <c r="C16" i="24"/>
  <c r="C9" i="27"/>
  <c r="P9" i="27" s="1"/>
  <c r="C7" i="33"/>
  <c r="C17" i="24"/>
  <c r="C5" i="14"/>
  <c r="Q9" i="27" l="1"/>
  <c r="R9" i="27" s="1"/>
  <c r="Q8" i="27"/>
  <c r="R8" i="27" s="1"/>
  <c r="Q5" i="27"/>
  <c r="R5" i="27" s="1"/>
  <c r="Q6" i="27"/>
  <c r="R6" i="27" s="1"/>
  <c r="P6" i="27"/>
  <c r="Q6" i="14"/>
  <c r="O6" i="14"/>
  <c r="P6" i="14"/>
  <c r="Q5" i="14"/>
  <c r="P5" i="14"/>
  <c r="O5" i="14"/>
  <c r="P7" i="14"/>
  <c r="Q7" i="14"/>
  <c r="O7" i="14"/>
  <c r="Q9" i="14"/>
  <c r="O9" i="14"/>
  <c r="P9" i="14"/>
  <c r="N8" i="27"/>
  <c r="C4" i="11"/>
  <c r="N5" i="27"/>
  <c r="N9" i="27"/>
  <c r="N6" i="27"/>
  <c r="E8" i="11" l="1"/>
  <c r="E9" i="11"/>
  <c r="E10" i="11"/>
  <c r="E11" i="11"/>
  <c r="F11" i="11"/>
  <c r="G11" i="11" s="1"/>
  <c r="E15" i="11" l="1"/>
  <c r="D6" i="34"/>
  <c r="D8" i="31"/>
  <c r="C19" i="31" s="1"/>
  <c r="D7" i="31"/>
  <c r="D6" i="31"/>
  <c r="D5" i="31"/>
  <c r="D4" i="31"/>
  <c r="M6" i="33" l="1"/>
  <c r="K6" i="33"/>
  <c r="I6" i="33" l="1"/>
  <c r="K5" i="33"/>
  <c r="L6" i="33"/>
  <c r="M5" i="33"/>
  <c r="I8" i="33"/>
  <c r="J5" i="33"/>
  <c r="I5" i="33"/>
  <c r="K8" i="33"/>
  <c r="J8" i="33"/>
  <c r="L5" i="33"/>
  <c r="J6" i="33"/>
  <c r="J4" i="33"/>
  <c r="K7" i="33"/>
  <c r="L7" i="33"/>
  <c r="M8" i="33"/>
  <c r="L8" i="33"/>
  <c r="N6" i="33" l="1"/>
  <c r="N8" i="33"/>
  <c r="N5" i="33"/>
  <c r="I7" i="33"/>
  <c r="K4" i="33"/>
  <c r="J7" i="33"/>
  <c r="M4" i="33"/>
  <c r="M7" i="33"/>
  <c r="L4" i="33"/>
  <c r="I4" i="33"/>
  <c r="N7" i="33" l="1"/>
  <c r="N4" i="33"/>
  <c r="H11" i="34" l="1"/>
  <c r="L11" i="34" s="1"/>
  <c r="C5" i="11"/>
  <c r="H12" i="34" l="1"/>
  <c r="L12" i="34" s="1"/>
  <c r="C9" i="19"/>
  <c r="C8" i="19"/>
  <c r="N4" i="27"/>
  <c r="D27" i="25" l="1"/>
  <c r="D29" i="25"/>
  <c r="D30" i="25"/>
  <c r="D31" i="25"/>
  <c r="D32" i="25"/>
  <c r="D33" i="25"/>
  <c r="D34" i="25"/>
  <c r="D28" i="25"/>
  <c r="D36" i="25" l="1"/>
  <c r="D10" i="11" l="1"/>
  <c r="D9" i="11"/>
  <c r="D8" i="11"/>
  <c r="D15" i="11" l="1"/>
  <c r="F10" i="11"/>
  <c r="G10" i="11" s="1"/>
  <c r="D5" i="34" s="1"/>
  <c r="F8" i="11"/>
  <c r="F9" i="11"/>
  <c r="F15" i="11" l="1"/>
  <c r="G8" i="11"/>
  <c r="G9" i="11"/>
  <c r="D4" i="34" s="1"/>
  <c r="D3" i="34" l="1"/>
  <c r="D7" i="34" s="1"/>
  <c r="G15" i="11"/>
  <c r="I11" i="11" s="1"/>
  <c r="K11" i="11" s="1"/>
  <c r="I8" i="11" l="1"/>
  <c r="K8" i="11" s="1"/>
  <c r="F6" i="34"/>
  <c r="H6" i="34" s="1"/>
  <c r="I10" i="11"/>
  <c r="F5" i="34" s="1"/>
  <c r="H5" i="34" s="1"/>
  <c r="I9" i="11"/>
  <c r="I15" i="11" l="1"/>
  <c r="F3" i="34"/>
  <c r="H3" i="34" s="1"/>
  <c r="L3" i="34" s="1"/>
  <c r="F4" i="34"/>
  <c r="H9" i="14"/>
  <c r="G9" i="14"/>
  <c r="H8" i="14"/>
  <c r="G8" i="14"/>
  <c r="H7" i="14"/>
  <c r="G7" i="14"/>
  <c r="H6" i="14"/>
  <c r="G6" i="14"/>
  <c r="H5" i="14"/>
  <c r="G5" i="14"/>
  <c r="F10" i="19"/>
  <c r="M5" i="14"/>
  <c r="N5" i="14"/>
  <c r="M8" i="14"/>
  <c r="M9" i="14"/>
  <c r="N9" i="14"/>
  <c r="O35" i="23"/>
  <c r="N8" i="14"/>
  <c r="O34" i="23"/>
  <c r="N7" i="14"/>
  <c r="O33" i="23"/>
  <c r="N6" i="14"/>
  <c r="O32" i="23"/>
  <c r="O31" i="23"/>
  <c r="L5" i="14"/>
  <c r="Y5" i="14" s="1"/>
  <c r="L6" i="14"/>
  <c r="L7" i="14"/>
  <c r="L8" i="14"/>
  <c r="L9" i="14"/>
  <c r="K5" i="14"/>
  <c r="X5" i="14" s="1"/>
  <c r="K6" i="14"/>
  <c r="K7" i="14"/>
  <c r="K8" i="14"/>
  <c r="K9" i="14"/>
  <c r="J5" i="14"/>
  <c r="W5" i="14" s="1"/>
  <c r="J6" i="14"/>
  <c r="J7" i="14"/>
  <c r="J8" i="14"/>
  <c r="J9" i="14"/>
  <c r="I9" i="14"/>
  <c r="I8" i="14"/>
  <c r="I7" i="14"/>
  <c r="I6" i="14"/>
  <c r="I5" i="14"/>
  <c r="V5" i="14" s="1"/>
  <c r="P8" i="23" l="1"/>
  <c r="S6" i="14" s="1"/>
  <c r="V6" i="14" s="1"/>
  <c r="P9" i="23"/>
  <c r="S7" i="14" s="1"/>
  <c r="V7" i="14" s="1"/>
  <c r="P11" i="23"/>
  <c r="S9" i="14" s="1"/>
  <c r="Y9" i="14" s="1"/>
  <c r="P10" i="23"/>
  <c r="S8" i="14" s="1"/>
  <c r="V8" i="14" s="1"/>
  <c r="U2" i="14"/>
  <c r="H4" i="34"/>
  <c r="F7" i="34"/>
  <c r="K10" i="11"/>
  <c r="K9" i="11"/>
  <c r="M6" i="14"/>
  <c r="M7" i="14"/>
  <c r="W9" i="14" l="1"/>
  <c r="W6" i="14"/>
  <c r="X6" i="14"/>
  <c r="X8" i="14"/>
  <c r="V9" i="14"/>
  <c r="X9" i="14"/>
  <c r="Y6" i="14"/>
  <c r="Y7" i="14"/>
  <c r="W8" i="14"/>
  <c r="Y8" i="14"/>
  <c r="X7" i="14"/>
  <c r="W7" i="14"/>
  <c r="K15" i="11"/>
  <c r="L4" i="34"/>
  <c r="H7" i="34"/>
  <c r="E4" i="27"/>
  <c r="K22" i="11" l="1"/>
  <c r="K21" i="11"/>
  <c r="E7" i="27"/>
  <c r="X8" i="19"/>
  <c r="H1201" i="7"/>
  <c r="H1200" i="7"/>
  <c r="H1199" i="7"/>
  <c r="H1198" i="7"/>
  <c r="H1197" i="7"/>
  <c r="H1196" i="7"/>
  <c r="H1195" i="7"/>
  <c r="H1194" i="7"/>
  <c r="H1193" i="7"/>
  <c r="H1192" i="7"/>
  <c r="H1191" i="7"/>
  <c r="H1190" i="7"/>
  <c r="H1189" i="7"/>
  <c r="H1188" i="7"/>
  <c r="H1187" i="7"/>
  <c r="H1186" i="7"/>
  <c r="H1185" i="7"/>
  <c r="H1184" i="7"/>
  <c r="H1183" i="7"/>
  <c r="H1182" i="7"/>
  <c r="H1181" i="7"/>
  <c r="H1180" i="7"/>
  <c r="H1179" i="7"/>
  <c r="H1178" i="7"/>
  <c r="H1177" i="7"/>
  <c r="H1176" i="7"/>
  <c r="H1175" i="7"/>
  <c r="H1174" i="7"/>
  <c r="H1173" i="7"/>
  <c r="H1172" i="7"/>
  <c r="H1171" i="7"/>
  <c r="H1170" i="7"/>
  <c r="H1169" i="7"/>
  <c r="H1168" i="7"/>
  <c r="H1167" i="7"/>
  <c r="H1166" i="7"/>
  <c r="H1165" i="7"/>
  <c r="H1164" i="7"/>
  <c r="H1163" i="7"/>
  <c r="H1162" i="7"/>
  <c r="H1161" i="7"/>
  <c r="H1160" i="7"/>
  <c r="H1159" i="7"/>
  <c r="H1158" i="7"/>
  <c r="H1157" i="7"/>
  <c r="H1156" i="7"/>
  <c r="H1155" i="7"/>
  <c r="H1154" i="7"/>
  <c r="H1153" i="7"/>
  <c r="H1152" i="7"/>
  <c r="H1151" i="7"/>
  <c r="H1150" i="7"/>
  <c r="H1149" i="7"/>
  <c r="H1148" i="7"/>
  <c r="H1147" i="7"/>
  <c r="H1146" i="7"/>
  <c r="H1145" i="7"/>
  <c r="H1144" i="7"/>
  <c r="H1143" i="7"/>
  <c r="H1142" i="7"/>
  <c r="H1141" i="7"/>
  <c r="H1140" i="7"/>
  <c r="H1139" i="7"/>
  <c r="H1138" i="7"/>
  <c r="H1137" i="7"/>
  <c r="H1136" i="7"/>
  <c r="H1135" i="7"/>
  <c r="H1134" i="7"/>
  <c r="H1133" i="7"/>
  <c r="H1132" i="7"/>
  <c r="H1131" i="7"/>
  <c r="H1130" i="7"/>
  <c r="H1129" i="7"/>
  <c r="H1128" i="7"/>
  <c r="H1127" i="7"/>
  <c r="H1126" i="7"/>
  <c r="H1125" i="7"/>
  <c r="H1124" i="7"/>
  <c r="H1123" i="7"/>
  <c r="H1122" i="7"/>
  <c r="H1121" i="7"/>
  <c r="H1120" i="7"/>
  <c r="H1119" i="7"/>
  <c r="H1118" i="7"/>
  <c r="H1117" i="7"/>
  <c r="H1116" i="7"/>
  <c r="H1115" i="7"/>
  <c r="H1114" i="7"/>
  <c r="H1113" i="7"/>
  <c r="H1112" i="7"/>
  <c r="H1111" i="7"/>
  <c r="H1110" i="7"/>
  <c r="H1109" i="7"/>
  <c r="H1108" i="7"/>
  <c r="H1107" i="7"/>
  <c r="H1106" i="7"/>
  <c r="H1105" i="7"/>
  <c r="H1104" i="7"/>
  <c r="H1103" i="7"/>
  <c r="H1102" i="7"/>
  <c r="H1101" i="7"/>
  <c r="H1100" i="7"/>
  <c r="H1099" i="7"/>
  <c r="H1098" i="7"/>
  <c r="H1097" i="7"/>
  <c r="H1096" i="7"/>
  <c r="H1095" i="7"/>
  <c r="H1094" i="7"/>
  <c r="H1093" i="7"/>
  <c r="H1092" i="7"/>
  <c r="H1091" i="7"/>
  <c r="H1090" i="7"/>
  <c r="H1089" i="7"/>
  <c r="H1088" i="7"/>
  <c r="H1087" i="7"/>
  <c r="H1086" i="7"/>
  <c r="H1085" i="7"/>
  <c r="H1084" i="7"/>
  <c r="H1083" i="7"/>
  <c r="H1082" i="7"/>
  <c r="H1081" i="7"/>
  <c r="H1080" i="7"/>
  <c r="H1079" i="7"/>
  <c r="H1078" i="7"/>
  <c r="H1077" i="7"/>
  <c r="H1076" i="7"/>
  <c r="H1075" i="7"/>
  <c r="H1074" i="7"/>
  <c r="H1073" i="7"/>
  <c r="H1072" i="7"/>
  <c r="H1071" i="7"/>
  <c r="H1070" i="7"/>
  <c r="H1069" i="7"/>
  <c r="H1068" i="7"/>
  <c r="H1067" i="7"/>
  <c r="H1066" i="7"/>
  <c r="H1065" i="7"/>
  <c r="H1064" i="7"/>
  <c r="H1063" i="7"/>
  <c r="H1062" i="7"/>
  <c r="H1061" i="7"/>
  <c r="H1060" i="7"/>
  <c r="H1059" i="7"/>
  <c r="H1058" i="7"/>
  <c r="H1057" i="7"/>
  <c r="H1056" i="7"/>
  <c r="H1055" i="7"/>
  <c r="H1054" i="7"/>
  <c r="H1053" i="7"/>
  <c r="H1052" i="7"/>
  <c r="H1051" i="7"/>
  <c r="H1050" i="7"/>
  <c r="H1049" i="7"/>
  <c r="H1048" i="7"/>
  <c r="H1047" i="7"/>
  <c r="H1046" i="7"/>
  <c r="H1045" i="7"/>
  <c r="H1044" i="7"/>
  <c r="H1043" i="7"/>
  <c r="H1042" i="7"/>
  <c r="H1041" i="7"/>
  <c r="H1040" i="7"/>
  <c r="H1039" i="7"/>
  <c r="H1038" i="7"/>
  <c r="H1037" i="7"/>
  <c r="H1036" i="7"/>
  <c r="H1035" i="7"/>
  <c r="H1034" i="7"/>
  <c r="H1033" i="7"/>
  <c r="H1032" i="7"/>
  <c r="H1031" i="7"/>
  <c r="H1030" i="7"/>
  <c r="H1029" i="7"/>
  <c r="H1028" i="7"/>
  <c r="H1027" i="7"/>
  <c r="H1026" i="7"/>
  <c r="H1025" i="7"/>
  <c r="H1024" i="7"/>
  <c r="H1023" i="7"/>
  <c r="H1022" i="7"/>
  <c r="H1021" i="7"/>
  <c r="H1020" i="7"/>
  <c r="H1019" i="7"/>
  <c r="H1018" i="7"/>
  <c r="H1017" i="7"/>
  <c r="H1016" i="7"/>
  <c r="H1015" i="7"/>
  <c r="H1014" i="7"/>
  <c r="H1013" i="7"/>
  <c r="H1012" i="7"/>
  <c r="H1011" i="7"/>
  <c r="H1010" i="7"/>
  <c r="H1009" i="7"/>
  <c r="H1008" i="7"/>
  <c r="H1007" i="7"/>
  <c r="H1006" i="7"/>
  <c r="H1005" i="7"/>
  <c r="H1004" i="7"/>
  <c r="H1003" i="7"/>
  <c r="H1002" i="7"/>
  <c r="H1001" i="7"/>
  <c r="H1000" i="7"/>
  <c r="H999" i="7"/>
  <c r="H998" i="7"/>
  <c r="H997" i="7"/>
  <c r="H996" i="7"/>
  <c r="H995" i="7"/>
  <c r="H994" i="7"/>
  <c r="H993" i="7"/>
  <c r="H992" i="7"/>
  <c r="H991" i="7"/>
  <c r="H990" i="7"/>
  <c r="H989" i="7"/>
  <c r="H988" i="7"/>
  <c r="H987" i="7"/>
  <c r="H986" i="7"/>
  <c r="H985" i="7"/>
  <c r="H984" i="7"/>
  <c r="H983" i="7"/>
  <c r="H982" i="7"/>
  <c r="H981" i="7"/>
  <c r="H980" i="7"/>
  <c r="H979" i="7"/>
  <c r="H978" i="7"/>
  <c r="H977" i="7"/>
  <c r="H976" i="7"/>
  <c r="H975" i="7"/>
  <c r="H974" i="7"/>
  <c r="H973" i="7"/>
  <c r="H972" i="7"/>
  <c r="H971" i="7"/>
  <c r="H970" i="7"/>
  <c r="H969" i="7"/>
  <c r="H968" i="7"/>
  <c r="H967" i="7"/>
  <c r="H966" i="7"/>
  <c r="H965" i="7"/>
  <c r="H964" i="7"/>
  <c r="H963" i="7"/>
  <c r="H962" i="7"/>
  <c r="H961" i="7"/>
  <c r="H960" i="7"/>
  <c r="H959" i="7"/>
  <c r="H958" i="7"/>
  <c r="H957" i="7"/>
  <c r="H956" i="7"/>
  <c r="H955" i="7"/>
  <c r="H954" i="7"/>
  <c r="H953" i="7"/>
  <c r="H952" i="7"/>
  <c r="H951" i="7"/>
  <c r="H950" i="7"/>
  <c r="H949" i="7"/>
  <c r="H948" i="7"/>
  <c r="H947" i="7"/>
  <c r="H946" i="7"/>
  <c r="H945" i="7"/>
  <c r="H944" i="7"/>
  <c r="H943" i="7"/>
  <c r="H942" i="7"/>
  <c r="H941" i="7"/>
  <c r="H940" i="7"/>
  <c r="H939" i="7"/>
  <c r="H938" i="7"/>
  <c r="H937" i="7"/>
  <c r="H936" i="7"/>
  <c r="H935" i="7"/>
  <c r="H934" i="7"/>
  <c r="H933" i="7"/>
  <c r="H932" i="7"/>
  <c r="H931" i="7"/>
  <c r="H930" i="7"/>
  <c r="H929" i="7"/>
  <c r="H928" i="7"/>
  <c r="H927" i="7"/>
  <c r="H926" i="7"/>
  <c r="H925" i="7"/>
  <c r="H924" i="7"/>
  <c r="H923" i="7"/>
  <c r="H922" i="7"/>
  <c r="H921" i="7"/>
  <c r="H920" i="7"/>
  <c r="H919" i="7"/>
  <c r="H918" i="7"/>
  <c r="H917" i="7"/>
  <c r="H916" i="7"/>
  <c r="H915" i="7"/>
  <c r="H914" i="7"/>
  <c r="H913" i="7"/>
  <c r="H912" i="7"/>
  <c r="H911" i="7"/>
  <c r="H910" i="7"/>
  <c r="H909" i="7"/>
  <c r="H908" i="7"/>
  <c r="H907" i="7"/>
  <c r="H906" i="7"/>
  <c r="H905" i="7"/>
  <c r="H904" i="7"/>
  <c r="H903" i="7"/>
  <c r="H902" i="7"/>
  <c r="H901" i="7"/>
  <c r="H900" i="7"/>
  <c r="H899" i="7"/>
  <c r="H898" i="7"/>
  <c r="H897" i="7"/>
  <c r="H896" i="7"/>
  <c r="H895" i="7"/>
  <c r="H894" i="7"/>
  <c r="H893" i="7"/>
  <c r="H892" i="7"/>
  <c r="H891" i="7"/>
  <c r="H890" i="7"/>
  <c r="H889" i="7"/>
  <c r="H888" i="7"/>
  <c r="H887" i="7"/>
  <c r="H886" i="7"/>
  <c r="H885" i="7"/>
  <c r="H884" i="7"/>
  <c r="H883" i="7"/>
  <c r="H882" i="7"/>
  <c r="H881" i="7"/>
  <c r="H880" i="7"/>
  <c r="H879" i="7"/>
  <c r="H878" i="7"/>
  <c r="H877" i="7"/>
  <c r="H876" i="7"/>
  <c r="H875" i="7"/>
  <c r="H874" i="7"/>
  <c r="H873" i="7"/>
  <c r="H872" i="7"/>
  <c r="H871" i="7"/>
  <c r="H870" i="7"/>
  <c r="H869" i="7"/>
  <c r="H868" i="7"/>
  <c r="H867" i="7"/>
  <c r="H866" i="7"/>
  <c r="H865" i="7"/>
  <c r="H864" i="7"/>
  <c r="H863" i="7"/>
  <c r="H862" i="7"/>
  <c r="H861" i="7"/>
  <c r="H860" i="7"/>
  <c r="H859" i="7"/>
  <c r="H858" i="7"/>
  <c r="H857" i="7"/>
  <c r="H856" i="7"/>
  <c r="H855" i="7"/>
  <c r="H854" i="7"/>
  <c r="H853" i="7"/>
  <c r="H852" i="7"/>
  <c r="H851" i="7"/>
  <c r="H850" i="7"/>
  <c r="H849" i="7"/>
  <c r="H848" i="7"/>
  <c r="H847" i="7"/>
  <c r="H846" i="7"/>
  <c r="H845" i="7"/>
  <c r="H844" i="7"/>
  <c r="H843" i="7"/>
  <c r="H842" i="7"/>
  <c r="H841" i="7"/>
  <c r="H840" i="7"/>
  <c r="H839" i="7"/>
  <c r="H838" i="7"/>
  <c r="H837" i="7"/>
  <c r="H836" i="7"/>
  <c r="H835" i="7"/>
  <c r="H834" i="7"/>
  <c r="H833" i="7"/>
  <c r="H832" i="7"/>
  <c r="H831" i="7"/>
  <c r="H830" i="7"/>
  <c r="H829" i="7"/>
  <c r="H828" i="7"/>
  <c r="H827" i="7"/>
  <c r="H826" i="7"/>
  <c r="H825" i="7"/>
  <c r="H824" i="7"/>
  <c r="H823" i="7"/>
  <c r="H822" i="7"/>
  <c r="H821" i="7"/>
  <c r="H820" i="7"/>
  <c r="H819" i="7"/>
  <c r="H818" i="7"/>
  <c r="H817" i="7"/>
  <c r="H816" i="7"/>
  <c r="H815" i="7"/>
  <c r="H814" i="7"/>
  <c r="H813" i="7"/>
  <c r="H812" i="7"/>
  <c r="H811" i="7"/>
  <c r="H810" i="7"/>
  <c r="H809" i="7"/>
  <c r="H808" i="7"/>
  <c r="H807" i="7"/>
  <c r="H806" i="7"/>
  <c r="H805" i="7"/>
  <c r="H804" i="7"/>
  <c r="H803" i="7"/>
  <c r="H802" i="7"/>
  <c r="H801" i="7"/>
  <c r="H800" i="7"/>
  <c r="H799" i="7"/>
  <c r="H798" i="7"/>
  <c r="H797" i="7"/>
  <c r="H796" i="7"/>
  <c r="H795" i="7"/>
  <c r="H794" i="7"/>
  <c r="H793" i="7"/>
  <c r="H792" i="7"/>
  <c r="H791" i="7"/>
  <c r="H790" i="7"/>
  <c r="H789" i="7"/>
  <c r="H788" i="7"/>
  <c r="H787" i="7"/>
  <c r="H786" i="7"/>
  <c r="H785" i="7"/>
  <c r="H784" i="7"/>
  <c r="H783" i="7"/>
  <c r="H782" i="7"/>
  <c r="H781" i="7"/>
  <c r="H780" i="7"/>
  <c r="H779" i="7"/>
  <c r="H778" i="7"/>
  <c r="H777" i="7"/>
  <c r="H776" i="7"/>
  <c r="H775" i="7"/>
  <c r="H774" i="7"/>
  <c r="H773" i="7"/>
  <c r="H772" i="7"/>
  <c r="H771" i="7"/>
  <c r="H770" i="7"/>
  <c r="H769" i="7"/>
  <c r="H768" i="7"/>
  <c r="H767" i="7"/>
  <c r="H766" i="7"/>
  <c r="H765" i="7"/>
  <c r="H764" i="7"/>
  <c r="H763" i="7"/>
  <c r="H762" i="7"/>
  <c r="H761" i="7"/>
  <c r="H760" i="7"/>
  <c r="H759" i="7"/>
  <c r="H758" i="7"/>
  <c r="H757" i="7"/>
  <c r="H756" i="7"/>
  <c r="H755" i="7"/>
  <c r="H754" i="7"/>
  <c r="H753" i="7"/>
  <c r="H752" i="7"/>
  <c r="H751" i="7"/>
  <c r="H750" i="7"/>
  <c r="H749" i="7"/>
  <c r="H748" i="7"/>
  <c r="H747" i="7"/>
  <c r="H746" i="7"/>
  <c r="H745" i="7"/>
  <c r="H744" i="7"/>
  <c r="H743" i="7"/>
  <c r="H742" i="7"/>
  <c r="H741" i="7"/>
  <c r="H740" i="7"/>
  <c r="H739" i="7"/>
  <c r="H738" i="7"/>
  <c r="H737" i="7"/>
  <c r="H736" i="7"/>
  <c r="H735" i="7"/>
  <c r="H734" i="7"/>
  <c r="H733" i="7"/>
  <c r="H732" i="7"/>
  <c r="H731" i="7"/>
  <c r="H730" i="7"/>
  <c r="H729" i="7"/>
  <c r="H728" i="7"/>
  <c r="H727" i="7"/>
  <c r="H726" i="7"/>
  <c r="H725" i="7"/>
  <c r="H724" i="7"/>
  <c r="H723" i="7"/>
  <c r="H722" i="7"/>
  <c r="H721" i="7"/>
  <c r="H720" i="7"/>
  <c r="H719" i="7"/>
  <c r="H718" i="7"/>
  <c r="H717" i="7"/>
  <c r="H716" i="7"/>
  <c r="H715" i="7"/>
  <c r="H714" i="7"/>
  <c r="H713" i="7"/>
  <c r="H712" i="7"/>
  <c r="H711" i="7"/>
  <c r="H710" i="7"/>
  <c r="H709" i="7"/>
  <c r="H708" i="7"/>
  <c r="H707" i="7"/>
  <c r="H706" i="7"/>
  <c r="H705" i="7"/>
  <c r="H704" i="7"/>
  <c r="H703" i="7"/>
  <c r="H702" i="7"/>
  <c r="H701" i="7"/>
  <c r="H700" i="7"/>
  <c r="H699" i="7"/>
  <c r="H698" i="7"/>
  <c r="H697" i="7"/>
  <c r="H696" i="7"/>
  <c r="H695" i="7"/>
  <c r="H694" i="7"/>
  <c r="H693" i="7"/>
  <c r="H692" i="7"/>
  <c r="H691" i="7"/>
  <c r="H690" i="7"/>
  <c r="H689" i="7"/>
  <c r="H688" i="7"/>
  <c r="H687" i="7"/>
  <c r="H686" i="7"/>
  <c r="H685" i="7"/>
  <c r="H684" i="7"/>
  <c r="H683" i="7"/>
  <c r="H682" i="7"/>
  <c r="H681" i="7"/>
  <c r="H680" i="7"/>
  <c r="H679" i="7"/>
  <c r="H678" i="7"/>
  <c r="H677" i="7"/>
  <c r="H676" i="7"/>
  <c r="H675" i="7"/>
  <c r="H674" i="7"/>
  <c r="H673" i="7"/>
  <c r="H672" i="7"/>
  <c r="H671" i="7"/>
  <c r="H670" i="7"/>
  <c r="H669" i="7"/>
  <c r="H668" i="7"/>
  <c r="H667" i="7"/>
  <c r="H666" i="7"/>
  <c r="H665" i="7"/>
  <c r="H664" i="7"/>
  <c r="H663" i="7"/>
  <c r="H662" i="7"/>
  <c r="H661" i="7"/>
  <c r="H660" i="7"/>
  <c r="H659" i="7"/>
  <c r="H658" i="7"/>
  <c r="H657" i="7"/>
  <c r="H656" i="7"/>
  <c r="H655" i="7"/>
  <c r="H654" i="7"/>
  <c r="H653" i="7"/>
  <c r="H652" i="7"/>
  <c r="H651" i="7"/>
  <c r="H650" i="7"/>
  <c r="H649" i="7"/>
  <c r="H648" i="7"/>
  <c r="H647" i="7"/>
  <c r="H646" i="7"/>
  <c r="H645" i="7"/>
  <c r="H644" i="7"/>
  <c r="H643" i="7"/>
  <c r="H642" i="7"/>
  <c r="H641" i="7"/>
  <c r="H640" i="7"/>
  <c r="H639" i="7"/>
  <c r="H638" i="7"/>
  <c r="H637" i="7"/>
  <c r="H636" i="7"/>
  <c r="H635" i="7"/>
  <c r="H634" i="7"/>
  <c r="H633" i="7"/>
  <c r="H632" i="7"/>
  <c r="H631" i="7"/>
  <c r="H630" i="7"/>
  <c r="H629" i="7"/>
  <c r="H628" i="7"/>
  <c r="H627" i="7"/>
  <c r="H626" i="7"/>
  <c r="H625" i="7"/>
  <c r="H624" i="7"/>
  <c r="H623" i="7"/>
  <c r="H622" i="7"/>
  <c r="H621" i="7"/>
  <c r="H620" i="7"/>
  <c r="H619" i="7"/>
  <c r="H618" i="7"/>
  <c r="H617" i="7"/>
  <c r="H616" i="7"/>
  <c r="H615" i="7"/>
  <c r="H614" i="7"/>
  <c r="H613" i="7"/>
  <c r="H612" i="7"/>
  <c r="H611" i="7"/>
  <c r="H610" i="7"/>
  <c r="H609" i="7"/>
  <c r="H608" i="7"/>
  <c r="H607" i="7"/>
  <c r="H606" i="7"/>
  <c r="H605" i="7"/>
  <c r="H604" i="7"/>
  <c r="H603" i="7"/>
  <c r="H602" i="7"/>
  <c r="H601" i="7"/>
  <c r="H600" i="7"/>
  <c r="H599" i="7"/>
  <c r="H598" i="7"/>
  <c r="H597" i="7"/>
  <c r="H596" i="7"/>
  <c r="H595" i="7"/>
  <c r="H594" i="7"/>
  <c r="H593" i="7"/>
  <c r="H592" i="7"/>
  <c r="H591" i="7"/>
  <c r="H590" i="7"/>
  <c r="H589" i="7"/>
  <c r="H588" i="7"/>
  <c r="H587" i="7"/>
  <c r="H586" i="7"/>
  <c r="H585" i="7"/>
  <c r="H584" i="7"/>
  <c r="H583" i="7"/>
  <c r="H582" i="7"/>
  <c r="H581" i="7"/>
  <c r="H580" i="7"/>
  <c r="H579" i="7"/>
  <c r="H578" i="7"/>
  <c r="H577" i="7"/>
  <c r="H576" i="7"/>
  <c r="H575" i="7"/>
  <c r="H574" i="7"/>
  <c r="H573" i="7"/>
  <c r="H572" i="7"/>
  <c r="H571" i="7"/>
  <c r="H570" i="7"/>
  <c r="H569" i="7"/>
  <c r="H568" i="7"/>
  <c r="H567" i="7"/>
  <c r="H566" i="7"/>
  <c r="H565" i="7"/>
  <c r="H564" i="7"/>
  <c r="H563" i="7"/>
  <c r="H562" i="7"/>
  <c r="H561" i="7"/>
  <c r="H560" i="7"/>
  <c r="H559" i="7"/>
  <c r="H558" i="7"/>
  <c r="H557" i="7"/>
  <c r="H556" i="7"/>
  <c r="H555" i="7"/>
  <c r="H554" i="7"/>
  <c r="H553" i="7"/>
  <c r="H552" i="7"/>
  <c r="H551" i="7"/>
  <c r="H550" i="7"/>
  <c r="H549" i="7"/>
  <c r="H548" i="7"/>
  <c r="H547" i="7"/>
  <c r="H546" i="7"/>
  <c r="H545" i="7"/>
  <c r="H544" i="7"/>
  <c r="H543" i="7"/>
  <c r="H542" i="7"/>
  <c r="H541" i="7"/>
  <c r="H540" i="7"/>
  <c r="H539" i="7"/>
  <c r="H538" i="7"/>
  <c r="H537" i="7"/>
  <c r="H536" i="7"/>
  <c r="H535" i="7"/>
  <c r="H534" i="7"/>
  <c r="H533" i="7"/>
  <c r="H532" i="7"/>
  <c r="H531" i="7"/>
  <c r="H530" i="7"/>
  <c r="H529" i="7"/>
  <c r="H528" i="7"/>
  <c r="H527" i="7"/>
  <c r="H526" i="7"/>
  <c r="H525" i="7"/>
  <c r="H524" i="7"/>
  <c r="H523" i="7"/>
  <c r="H522" i="7"/>
  <c r="H521" i="7"/>
  <c r="H520" i="7"/>
  <c r="H519" i="7"/>
  <c r="H518" i="7"/>
  <c r="H517" i="7"/>
  <c r="H516" i="7"/>
  <c r="H515" i="7"/>
  <c r="H514" i="7"/>
  <c r="H513" i="7"/>
  <c r="H512" i="7"/>
  <c r="H511" i="7"/>
  <c r="H510" i="7"/>
  <c r="H509" i="7"/>
  <c r="H508" i="7"/>
  <c r="H507" i="7"/>
  <c r="H506" i="7"/>
  <c r="H505" i="7"/>
  <c r="H504" i="7"/>
  <c r="H503" i="7"/>
  <c r="H502" i="7"/>
  <c r="H501" i="7"/>
  <c r="H500" i="7"/>
  <c r="H499" i="7"/>
  <c r="H498" i="7"/>
  <c r="H497" i="7"/>
  <c r="H496" i="7"/>
  <c r="H495" i="7"/>
  <c r="H494" i="7"/>
  <c r="H493" i="7"/>
  <c r="H492" i="7"/>
  <c r="H491" i="7"/>
  <c r="H490" i="7"/>
  <c r="H489" i="7"/>
  <c r="H488" i="7"/>
  <c r="H487" i="7"/>
  <c r="H486" i="7"/>
  <c r="H485" i="7"/>
  <c r="H484" i="7"/>
  <c r="H483" i="7"/>
  <c r="H482" i="7"/>
  <c r="H481" i="7"/>
  <c r="H480" i="7"/>
  <c r="H479" i="7"/>
  <c r="H478" i="7"/>
  <c r="H477" i="7"/>
  <c r="H476" i="7"/>
  <c r="H475" i="7"/>
  <c r="H474" i="7"/>
  <c r="H473" i="7"/>
  <c r="H472" i="7"/>
  <c r="H471" i="7"/>
  <c r="H470" i="7"/>
  <c r="H469" i="7"/>
  <c r="H468" i="7"/>
  <c r="H467" i="7"/>
  <c r="H466" i="7"/>
  <c r="H465" i="7"/>
  <c r="H464" i="7"/>
  <c r="H463" i="7"/>
  <c r="H462" i="7"/>
  <c r="H461" i="7"/>
  <c r="H460" i="7"/>
  <c r="H459" i="7"/>
  <c r="H458" i="7"/>
  <c r="H457" i="7"/>
  <c r="H456" i="7"/>
  <c r="H455" i="7"/>
  <c r="H454" i="7"/>
  <c r="H453" i="7"/>
  <c r="H452" i="7"/>
  <c r="H451" i="7"/>
  <c r="H450" i="7"/>
  <c r="H449" i="7"/>
  <c r="H448" i="7"/>
  <c r="H447" i="7"/>
  <c r="H446" i="7"/>
  <c r="H445" i="7"/>
  <c r="H444" i="7"/>
  <c r="H443" i="7"/>
  <c r="H442" i="7"/>
  <c r="H441" i="7"/>
  <c r="H440" i="7"/>
  <c r="H439" i="7"/>
  <c r="H438" i="7"/>
  <c r="H437" i="7"/>
  <c r="H436" i="7"/>
  <c r="H435" i="7"/>
  <c r="H434" i="7"/>
  <c r="H433" i="7"/>
  <c r="H432" i="7"/>
  <c r="H431" i="7"/>
  <c r="H430" i="7"/>
  <c r="H429" i="7"/>
  <c r="H428" i="7"/>
  <c r="H427" i="7"/>
  <c r="H426" i="7"/>
  <c r="H425" i="7"/>
  <c r="H424" i="7"/>
  <c r="H423" i="7"/>
  <c r="H422" i="7"/>
  <c r="H421" i="7"/>
  <c r="H420" i="7"/>
  <c r="H419" i="7"/>
  <c r="H418" i="7"/>
  <c r="H417" i="7"/>
  <c r="H416" i="7"/>
  <c r="H415" i="7"/>
  <c r="H414" i="7"/>
  <c r="H413" i="7"/>
  <c r="H412" i="7"/>
  <c r="H411" i="7"/>
  <c r="H410" i="7"/>
  <c r="H409" i="7"/>
  <c r="H408" i="7"/>
  <c r="H407" i="7"/>
  <c r="H406" i="7"/>
  <c r="H405" i="7"/>
  <c r="H404" i="7"/>
  <c r="H403" i="7"/>
  <c r="H402" i="7"/>
  <c r="H401" i="7"/>
  <c r="H400" i="7"/>
  <c r="H399" i="7"/>
  <c r="H398" i="7"/>
  <c r="H397" i="7"/>
  <c r="H396" i="7"/>
  <c r="H395" i="7"/>
  <c r="H394" i="7"/>
  <c r="H393" i="7"/>
  <c r="H392" i="7"/>
  <c r="H391" i="7"/>
  <c r="H390" i="7"/>
  <c r="H389" i="7"/>
  <c r="H388" i="7"/>
  <c r="H387" i="7"/>
  <c r="H386" i="7"/>
  <c r="H385" i="7"/>
  <c r="H384" i="7"/>
  <c r="H383" i="7"/>
  <c r="H382" i="7"/>
  <c r="H381" i="7"/>
  <c r="H380" i="7"/>
  <c r="H379" i="7"/>
  <c r="H378" i="7"/>
  <c r="H377" i="7"/>
  <c r="H376" i="7"/>
  <c r="H375" i="7"/>
  <c r="H374" i="7"/>
  <c r="H373" i="7"/>
  <c r="H372" i="7"/>
  <c r="H371" i="7"/>
  <c r="H370" i="7"/>
  <c r="H369" i="7"/>
  <c r="H368" i="7"/>
  <c r="H367" i="7"/>
  <c r="H366" i="7"/>
  <c r="H365" i="7"/>
  <c r="H364" i="7"/>
  <c r="H363" i="7"/>
  <c r="H362" i="7"/>
  <c r="H361" i="7"/>
  <c r="H360" i="7"/>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 i="7"/>
  <c r="H2" i="7"/>
  <c r="E10" i="19" l="1"/>
  <c r="T2" i="14" l="1"/>
  <c r="U8" i="14"/>
  <c r="T6" i="14" l="1"/>
  <c r="T8" i="14"/>
  <c r="T7" i="14"/>
  <c r="T9" i="14"/>
  <c r="T5" i="14"/>
  <c r="U9" i="14"/>
  <c r="U6" i="14"/>
  <c r="U5" i="14"/>
  <c r="U7" i="14"/>
  <c r="AA7" i="14" l="1"/>
  <c r="AA5" i="14"/>
  <c r="AA9" i="14"/>
  <c r="AA6" i="14"/>
  <c r="AA8" i="14"/>
  <c r="Z5" i="14"/>
  <c r="Z9" i="14"/>
  <c r="Z8" i="14"/>
  <c r="Z7" i="14"/>
  <c r="Z6" i="14"/>
  <c r="S10" i="19" l="1"/>
  <c r="O10" i="19"/>
  <c r="AB2" i="14" s="1"/>
  <c r="AB7" i="14" l="1"/>
  <c r="AB8" i="14"/>
  <c r="AB6" i="14"/>
  <c r="AB5" i="14"/>
  <c r="AB9" i="14"/>
  <c r="E4" i="16" l="1"/>
  <c r="E5" i="16"/>
  <c r="E6" i="16"/>
  <c r="E7" i="16"/>
  <c r="E8" i="16"/>
  <c r="E9" i="16"/>
  <c r="E10" i="16"/>
  <c r="E11" i="16"/>
  <c r="E12" i="16"/>
  <c r="E13" i="16"/>
  <c r="E14" i="16"/>
  <c r="E3" i="16"/>
  <c r="E15" i="16"/>
  <c r="D9" i="16"/>
  <c r="D3" i="16" l="1"/>
  <c r="B15" i="16"/>
  <c r="C15" i="16"/>
  <c r="D15" i="16" s="1"/>
  <c r="D4" i="16"/>
  <c r="D5" i="16"/>
  <c r="D6" i="16"/>
  <c r="D7" i="16"/>
  <c r="D8" i="16"/>
  <c r="D10" i="16"/>
  <c r="D11" i="16"/>
  <c r="D12" i="16"/>
  <c r="D13" i="16"/>
  <c r="D14" i="16"/>
  <c r="G14" i="16" l="1"/>
  <c r="K12" i="16"/>
  <c r="G12" i="16" l="1"/>
  <c r="K14" i="16"/>
  <c r="H13" i="16"/>
  <c r="H9" i="16"/>
  <c r="H8" i="16"/>
  <c r="H12" i="16"/>
  <c r="H6" i="16"/>
  <c r="K6" i="16"/>
  <c r="H4" i="16"/>
  <c r="H10" i="16"/>
  <c r="H11" i="16"/>
  <c r="H14" i="16"/>
  <c r="I14" i="16" s="1"/>
  <c r="M14" i="16" s="1"/>
  <c r="H7" i="16"/>
  <c r="H3" i="16"/>
  <c r="G5" i="16"/>
  <c r="G9" i="16"/>
  <c r="K13" i="16"/>
  <c r="G7" i="16"/>
  <c r="G8" i="16"/>
  <c r="G13" i="16"/>
  <c r="K5" i="16"/>
  <c r="K7" i="16"/>
  <c r="G11" i="16"/>
  <c r="K3" i="16"/>
  <c r="G6" i="16"/>
  <c r="K11" i="16"/>
  <c r="K8" i="16"/>
  <c r="H5" i="16"/>
  <c r="G3" i="16"/>
  <c r="K4" i="16"/>
  <c r="K10" i="16"/>
  <c r="K9" i="16"/>
  <c r="G4" i="16"/>
  <c r="G10" i="16"/>
  <c r="I13" i="16" l="1"/>
  <c r="M13" i="16" s="1"/>
  <c r="I12" i="16"/>
  <c r="M12" i="16" s="1"/>
  <c r="I9" i="16"/>
  <c r="M9" i="16" s="1"/>
  <c r="I6" i="16"/>
  <c r="M6" i="16" s="1"/>
  <c r="I8" i="16"/>
  <c r="M8" i="16" s="1"/>
  <c r="I7" i="16"/>
  <c r="M7" i="16" s="1"/>
  <c r="I10" i="16"/>
  <c r="M10" i="16" s="1"/>
  <c r="I4" i="16"/>
  <c r="M4" i="16" s="1"/>
  <c r="I5" i="16"/>
  <c r="M5" i="16" s="1"/>
  <c r="I11" i="16"/>
  <c r="M11" i="16" s="1"/>
  <c r="G15" i="16"/>
  <c r="I3" i="16"/>
  <c r="K15" i="16"/>
  <c r="H15" i="16"/>
  <c r="B12" i="31" l="1"/>
  <c r="B21" i="31" s="1"/>
  <c r="M3" i="16"/>
  <c r="M15" i="16" s="1"/>
  <c r="I15" i="16"/>
  <c r="B23" i="31" l="1"/>
  <c r="B22" i="31"/>
  <c r="K14" i="11"/>
  <c r="J3" i="16"/>
  <c r="J8" i="16"/>
  <c r="J10" i="16"/>
  <c r="J11" i="16"/>
  <c r="J5" i="16"/>
  <c r="J13" i="16"/>
  <c r="J7" i="16"/>
  <c r="J9" i="16"/>
  <c r="J4" i="16"/>
  <c r="J12" i="16"/>
  <c r="J6" i="16"/>
  <c r="J14" i="16"/>
  <c r="K13" i="11" l="1"/>
  <c r="K12" i="11"/>
  <c r="E5" i="27"/>
  <c r="E6" i="27"/>
  <c r="E8" i="27"/>
  <c r="E9" i="27"/>
  <c r="G4" i="27"/>
  <c r="J15" i="16"/>
  <c r="D5" i="10"/>
  <c r="D6" i="10"/>
  <c r="D7" i="10"/>
  <c r="D8" i="10"/>
  <c r="D9" i="10"/>
  <c r="D10" i="10"/>
  <c r="D11" i="10"/>
  <c r="D12" i="10"/>
  <c r="D13" i="10"/>
  <c r="D14" i="10"/>
  <c r="D15" i="10"/>
  <c r="D16" i="10"/>
  <c r="D17" i="10"/>
  <c r="D18" i="10"/>
  <c r="D4" i="10"/>
  <c r="P7" i="19" l="1"/>
  <c r="L6" i="34" s="1"/>
  <c r="Q7" i="19"/>
  <c r="G8" i="27"/>
  <c r="G6" i="27"/>
  <c r="G5" i="27"/>
  <c r="G7" i="27"/>
  <c r="G9" i="27"/>
  <c r="J5" i="27"/>
  <c r="J7" i="27"/>
  <c r="K6" i="27"/>
  <c r="J8" i="27"/>
  <c r="K9" i="27"/>
  <c r="K8" i="27"/>
  <c r="J6" i="27"/>
  <c r="J9" i="27"/>
  <c r="K7" i="27"/>
  <c r="K5" i="27"/>
  <c r="C10" i="33"/>
  <c r="C7" i="19"/>
  <c r="C6" i="19"/>
  <c r="C5" i="19"/>
  <c r="Y9" i="27" l="1"/>
  <c r="Y7" i="27"/>
  <c r="E16" i="24" s="1"/>
  <c r="Y5" i="27"/>
  <c r="Y6" i="27"/>
  <c r="E5" i="33" s="1"/>
  <c r="P5" i="33" s="1"/>
  <c r="Y8" i="27"/>
  <c r="Q10" i="19"/>
  <c r="P10" i="19"/>
  <c r="L7" i="34" s="1"/>
  <c r="H5" i="19"/>
  <c r="M5" i="19"/>
  <c r="L5" i="19"/>
  <c r="J5" i="19"/>
  <c r="K5" i="19"/>
  <c r="K6" i="19"/>
  <c r="J6" i="19"/>
  <c r="H6" i="19"/>
  <c r="C4" i="19"/>
  <c r="I5" i="19"/>
  <c r="M6" i="19"/>
  <c r="I6" i="19"/>
  <c r="L6" i="19"/>
  <c r="C5" i="42" l="1"/>
  <c r="G16" i="42"/>
  <c r="E9" i="14"/>
  <c r="E8" i="33"/>
  <c r="P8" i="33" s="1"/>
  <c r="AD2" i="14"/>
  <c r="AC2" i="14"/>
  <c r="E4" i="33"/>
  <c r="P4" i="33" s="1"/>
  <c r="E14" i="24"/>
  <c r="E5" i="14"/>
  <c r="E7" i="14"/>
  <c r="E6" i="33"/>
  <c r="P6" i="33" s="1"/>
  <c r="E18" i="24"/>
  <c r="E7" i="33"/>
  <c r="P7" i="33" s="1"/>
  <c r="E17" i="24"/>
  <c r="E8" i="14"/>
  <c r="E6" i="14"/>
  <c r="E15" i="24"/>
  <c r="C10" i="19"/>
  <c r="N5" i="16"/>
  <c r="O5" i="16" s="1"/>
  <c r="P5" i="16" s="1"/>
  <c r="N4" i="16"/>
  <c r="O4" i="16" s="1"/>
  <c r="P4" i="16" s="1"/>
  <c r="N6" i="16"/>
  <c r="O6" i="16" s="1"/>
  <c r="P6" i="16" s="1"/>
  <c r="N13" i="16"/>
  <c r="O13" i="16" s="1"/>
  <c r="P13" i="16" s="1"/>
  <c r="N7" i="16"/>
  <c r="O7" i="16" s="1"/>
  <c r="P7" i="16" s="1"/>
  <c r="N14" i="16"/>
  <c r="O14" i="16" s="1"/>
  <c r="P14" i="16" s="1"/>
  <c r="N11" i="16"/>
  <c r="O11" i="16" s="1"/>
  <c r="P11" i="16" s="1"/>
  <c r="N3" i="16"/>
  <c r="N12" i="16"/>
  <c r="O12" i="16" s="1"/>
  <c r="P12" i="16" s="1"/>
  <c r="N10" i="16"/>
  <c r="O10" i="16" s="1"/>
  <c r="P10" i="16" s="1"/>
  <c r="N8" i="16"/>
  <c r="O8" i="16" s="1"/>
  <c r="P8" i="16" s="1"/>
  <c r="N9" i="16"/>
  <c r="O9" i="16" s="1"/>
  <c r="P9" i="16" s="1"/>
  <c r="G5" i="42" l="1"/>
  <c r="D5" i="42"/>
  <c r="F5" i="42" s="1"/>
  <c r="H5" i="42" s="1"/>
  <c r="C8" i="42"/>
  <c r="C6" i="42"/>
  <c r="C4" i="42"/>
  <c r="C7" i="42"/>
  <c r="AD6" i="14"/>
  <c r="G17" i="42"/>
  <c r="I16" i="42"/>
  <c r="G18" i="42"/>
  <c r="I18" i="42" s="1"/>
  <c r="G19" i="42"/>
  <c r="H19" i="42" s="1"/>
  <c r="I19" i="42" s="1"/>
  <c r="G15" i="42"/>
  <c r="I15" i="42" s="1"/>
  <c r="AD5" i="14"/>
  <c r="AD7" i="14"/>
  <c r="AD9" i="14"/>
  <c r="AC9" i="14"/>
  <c r="AD8" i="14"/>
  <c r="AC7" i="14"/>
  <c r="AC5" i="14"/>
  <c r="AC6" i="14"/>
  <c r="AC8" i="14"/>
  <c r="O3" i="16"/>
  <c r="N15" i="16"/>
  <c r="AF5" i="14" l="1"/>
  <c r="H17" i="42"/>
  <c r="I17" i="42" s="1"/>
  <c r="G7" i="42"/>
  <c r="G4" i="42"/>
  <c r="G6" i="42"/>
  <c r="D8" i="42"/>
  <c r="D7" i="42"/>
  <c r="R5" i="33"/>
  <c r="T5" i="33" s="1"/>
  <c r="E24" i="24" s="1"/>
  <c r="D6" i="42"/>
  <c r="G8" i="42"/>
  <c r="D4" i="42"/>
  <c r="AF6" i="14"/>
  <c r="F5" i="33" s="1"/>
  <c r="G5" i="33" s="1"/>
  <c r="F4" i="33"/>
  <c r="AF7" i="14"/>
  <c r="AF9" i="14"/>
  <c r="F8" i="33" s="1"/>
  <c r="AF8" i="14"/>
  <c r="O15" i="16"/>
  <c r="P3" i="16"/>
  <c r="F4" i="42" l="1"/>
  <c r="R4" i="33" s="1"/>
  <c r="T4" i="33" s="1"/>
  <c r="E23" i="24" s="1"/>
  <c r="I23" i="24" s="1"/>
  <c r="F7" i="42"/>
  <c r="R7" i="33" s="1"/>
  <c r="T7" i="33" s="1"/>
  <c r="E26" i="24" s="1"/>
  <c r="F6" i="42"/>
  <c r="H6" i="42" s="1"/>
  <c r="F8" i="42"/>
  <c r="G15" i="24"/>
  <c r="I15" i="24" s="1"/>
  <c r="C6" i="24" s="1"/>
  <c r="G18" i="24"/>
  <c r="I18" i="24" s="1"/>
  <c r="K18" i="24" s="1"/>
  <c r="G16" i="24"/>
  <c r="I16" i="24" s="1"/>
  <c r="G14" i="24"/>
  <c r="F6" i="33"/>
  <c r="G6" i="33" s="1"/>
  <c r="F7" i="33"/>
  <c r="G7" i="33" s="1"/>
  <c r="G17" i="24"/>
  <c r="G8" i="33"/>
  <c r="G4" i="33"/>
  <c r="H4" i="42" l="1"/>
  <c r="H7" i="42"/>
  <c r="R6" i="33"/>
  <c r="T6" i="33" s="1"/>
  <c r="E25" i="24" s="1"/>
  <c r="R8" i="33"/>
  <c r="T8" i="33" s="1"/>
  <c r="E27" i="24" s="1"/>
  <c r="H8" i="42"/>
  <c r="K15" i="24"/>
  <c r="I14" i="24"/>
  <c r="K14" i="24" s="1"/>
  <c r="I17" i="24"/>
  <c r="C8" i="24" s="1"/>
  <c r="C9" i="24"/>
  <c r="C7" i="24"/>
  <c r="K16" i="24"/>
  <c r="C5" i="24" l="1"/>
  <c r="K17" i="24"/>
  <c r="I27" i="24" l="1"/>
  <c r="I26" i="24"/>
  <c r="I24" i="24"/>
  <c r="I25" i="24"/>
  <c r="E8" i="24" l="1"/>
  <c r="G8" i="24" s="1"/>
  <c r="K8" i="24" s="1"/>
  <c r="K24" i="24"/>
  <c r="E9" i="24"/>
  <c r="G9" i="24" s="1"/>
  <c r="K9" i="24" s="1"/>
  <c r="E5" i="24"/>
  <c r="G5" i="24" s="1"/>
  <c r="K5" i="24" s="1"/>
  <c r="E7" i="24"/>
  <c r="G7" i="24" s="1"/>
  <c r="K7" i="24" s="1"/>
  <c r="K23" i="24" l="1"/>
  <c r="E6" i="24"/>
  <c r="G6" i="24" s="1"/>
  <c r="K26" i="24"/>
  <c r="K27" i="24"/>
  <c r="K25" i="24"/>
  <c r="I9" i="24"/>
  <c r="I8" i="24"/>
  <c r="I5" i="24"/>
  <c r="I7" i="24"/>
  <c r="I6" i="24" l="1"/>
  <c r="K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tc={190C609E-DE84-B24F-9FCB-936F632644BE}</author>
    <author>tc={442C57EA-B2AA-FB4A-8AD0-31A9B8F4ADEE}</author>
    <author>tc={43AFC004-C49C-034A-BDA5-324BB35DB977}</author>
  </authors>
  <commentList>
    <comment ref="J2" authorId="0" shapeId="0" xr:uid="{190C609E-DE84-B24F-9FCB-936F632644BE}">
      <text>
        <t>[Threaded comment]
Your version of Excel allows you to read this threaded comment; however, any edits to it will get removed if the file is opened in a newer version of Excel. Learn more: https://go.microsoft.com/fwlink/?linkid=870924
Comment:
    Assumes Pell students pay 50% of the Per Student amount</t>
      </text>
    </comment>
    <comment ref="B11" authorId="1" shapeId="0" xr:uid="{442C57EA-B2AA-FB4A-8AD0-31A9B8F4ADEE}">
      <text>
        <t>[Threaded comment]
Your version of Excel allows you to read this threaded comment; however, any edits to it will get removed if the file is opened in a newer version of Excel. Learn more: https://go.microsoft.com/fwlink/?linkid=870924
Comment:
    Removed hospital appropriation</t>
      </text>
    </comment>
    <comment ref="D15" authorId="2" shapeId="0" xr:uid="{43AFC004-C49C-034A-BDA5-324BB35DB977}">
      <text>
        <t>[Threaded comment]
Your version of Excel allows you to read this threaded comment; however, any edits to it will get removed if the file is opened in a newer version of Excel. Learn more: https://go.microsoft.com/fwlink/?linkid=870924
Comment:
    Weighted Average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tc={2896D2B2-1AA5-C54F-93AC-515D3CEF8FDA}</author>
    <author>tc={F211C8B1-0225-B44B-A800-103C68FA4EFA}</author>
  </authors>
  <commentList>
    <comment ref="F3" authorId="0" shapeId="0" xr:uid="{2896D2B2-1AA5-C54F-93AC-515D3CEF8FDA}">
      <text>
        <t>[Threaded comment]
Your version of Excel allows you to read this threaded comment; however, any edits to it will get removed if the file is opened in a newer version of Excel. Learn more: https://go.microsoft.com/fwlink/?linkid=870924
Comment:
    Could also waive Excess Revenue if a school has reduced T&amp;F revenue by X%.</t>
      </text>
    </comment>
    <comment ref="G3" authorId="1" shapeId="0" xr:uid="{F211C8B1-0225-B44B-A800-103C68FA4EFA}">
      <text>
        <t>[Threaded comment]
Your version of Excel allows you to read this threaded comment; however, any edits to it will get removed if the file is opened in a newer version of Excel. Learn more: https://go.microsoft.com/fwlink/?linkid=870924
Comment:
    Assumption of holding steady for strawman purposes.</t>
      </text>
    </comment>
  </commentList>
</comments>
</file>

<file path=xl/sharedStrings.xml><?xml version="1.0" encoding="utf-8"?>
<sst xmlns="http://schemas.openxmlformats.org/spreadsheetml/2006/main" count="3243" uniqueCount="463">
  <si>
    <t>Non-Academic Supports</t>
  </si>
  <si>
    <t>O&amp;M</t>
  </si>
  <si>
    <t>Grand Totals</t>
  </si>
  <si>
    <t>University</t>
  </si>
  <si>
    <t>Chicago State University</t>
  </si>
  <si>
    <t>Eastern Illinois University</t>
  </si>
  <si>
    <t>Governors State University</t>
  </si>
  <si>
    <t>Illinois State University</t>
  </si>
  <si>
    <t>Northeastern Illinois University</t>
  </si>
  <si>
    <t>Northern Illinois University</t>
  </si>
  <si>
    <t>Southern Illinois University Carbondale</t>
  </si>
  <si>
    <t>Southern Illinois University Edwardsville</t>
  </si>
  <si>
    <t>University of Illinois at Chicago</t>
  </si>
  <si>
    <t>University of Illinois at Springfield</t>
  </si>
  <si>
    <t>University of Illinois at Urbana / Champaign</t>
  </si>
  <si>
    <t>Western Illinois University</t>
  </si>
  <si>
    <t>Grand Total</t>
  </si>
  <si>
    <t>TBD</t>
  </si>
  <si>
    <t>Original Sort</t>
  </si>
  <si>
    <t>NACUBO Expense</t>
  </si>
  <si>
    <t>FY2022 State</t>
  </si>
  <si>
    <t>FY2022 Other</t>
  </si>
  <si>
    <t>FY2022 Total</t>
  </si>
  <si>
    <t>General Academic Instruction (Degree-Related)</t>
  </si>
  <si>
    <t>Vocational/Technical Instruction (Degree-Related)</t>
  </si>
  <si>
    <t>Requisite/Preparatory/Remedial Instruction (Non-Degree)</t>
  </si>
  <si>
    <t>Departmental Research</t>
  </si>
  <si>
    <t>Admissions, Registration, and Records</t>
  </si>
  <si>
    <t>Audio-Visual Services</t>
  </si>
  <si>
    <t>Instructional Computing Support</t>
  </si>
  <si>
    <t>Departmental Administration and Personnel Development</t>
  </si>
  <si>
    <t>Course and Curriculum Development</t>
  </si>
  <si>
    <t>Total Instructional Programs</t>
  </si>
  <si>
    <t>Percent of Total</t>
  </si>
  <si>
    <t>Institutes and Research Centers</t>
  </si>
  <si>
    <t>Individual or Project Research</t>
  </si>
  <si>
    <t>Laboratory Schools</t>
  </si>
  <si>
    <t>Support for Organized Research</t>
  </si>
  <si>
    <t>Total Organized Research</t>
  </si>
  <si>
    <t>Direct Patient Care</t>
  </si>
  <si>
    <t>Community Education</t>
  </si>
  <si>
    <t>Public Broadcast Services</t>
  </si>
  <si>
    <t>Community Services</t>
  </si>
  <si>
    <t>Cooperative Extension Services</t>
  </si>
  <si>
    <t>Support for Public Service Programs</t>
  </si>
  <si>
    <t>Total Public Service</t>
  </si>
  <si>
    <t>Academic Administration</t>
  </si>
  <si>
    <t>Library Services</t>
  </si>
  <si>
    <t>Museums and Galleries</t>
  </si>
  <si>
    <t>Hospital and Patient Services</t>
  </si>
  <si>
    <t>Academic Support Not Elsewhere Classified</t>
  </si>
  <si>
    <t>Total Academic Support</t>
  </si>
  <si>
    <t>Social and Cultural Development</t>
  </si>
  <si>
    <t>Student Health/Medical Services</t>
  </si>
  <si>
    <t>Counseling and Career Services</t>
  </si>
  <si>
    <t>Financial Aid Administration</t>
  </si>
  <si>
    <t>Financial Assistance</t>
  </si>
  <si>
    <t>Intercollegiate Athletics</t>
  </si>
  <si>
    <t>Student Services Administration</t>
  </si>
  <si>
    <t>Total Student Services</t>
  </si>
  <si>
    <t>Executive Management</t>
  </si>
  <si>
    <t>Financial Management and Operations</t>
  </si>
  <si>
    <t>General Administrative and Logistical Services</t>
  </si>
  <si>
    <t>Faculty and Staff Auxiliary Services</t>
  </si>
  <si>
    <t>Public Relations/Development</t>
  </si>
  <si>
    <t>Total Institutional Support</t>
  </si>
  <si>
    <t>Superintendence</t>
  </si>
  <si>
    <t>Custodial</t>
  </si>
  <si>
    <t>Repairs/Maintenance</t>
  </si>
  <si>
    <t>Grounds Maintenance</t>
  </si>
  <si>
    <t>University Space</t>
  </si>
  <si>
    <t>Rental Space</t>
  </si>
  <si>
    <t>Utility Support</t>
  </si>
  <si>
    <t>Permanent Improvements</t>
  </si>
  <si>
    <t>Security</t>
  </si>
  <si>
    <t>Fire Protection</t>
  </si>
  <si>
    <t>Transportation</t>
  </si>
  <si>
    <t>Rental of Space</t>
  </si>
  <si>
    <t>Other Operations &amp; Maintenance</t>
  </si>
  <si>
    <t>Total Physical Plant</t>
  </si>
  <si>
    <t>Housing Services</t>
  </si>
  <si>
    <t>Food Services</t>
  </si>
  <si>
    <t>Retail Services and Concessions</t>
  </si>
  <si>
    <t>Student Unions and Centers</t>
  </si>
  <si>
    <t>Specialized Services</t>
  </si>
  <si>
    <t>Other Independent Operations</t>
  </si>
  <si>
    <t>Total Independent Operations</t>
  </si>
  <si>
    <t>Refunds</t>
  </si>
  <si>
    <t>Unexpended Lapsed Funds</t>
  </si>
  <si>
    <t>Total Refunds / Lapsed Funds</t>
  </si>
  <si>
    <t>CMS GROUP HEALTH INSURANCE</t>
  </si>
  <si>
    <t>MEDICARE</t>
  </si>
  <si>
    <t>Southern Illinois University School of Medicine</t>
  </si>
  <si>
    <t>Southern Illinois University System Office</t>
  </si>
  <si>
    <t>University of Illinois System Office</t>
  </si>
  <si>
    <t>Institution</t>
  </si>
  <si>
    <t>Chicago State</t>
  </si>
  <si>
    <t xml:space="preserve">Eastern Illinois </t>
  </si>
  <si>
    <t xml:space="preserve">Governors State </t>
  </si>
  <si>
    <t xml:space="preserve">Illinois State </t>
  </si>
  <si>
    <t xml:space="preserve">Northeastern Illinois </t>
  </si>
  <si>
    <t xml:space="preserve">Northern Illinois </t>
  </si>
  <si>
    <t>Southern Illinois Carbondale</t>
  </si>
  <si>
    <t>Southern Illinois Edwardsville</t>
  </si>
  <si>
    <t>University of Illinois Chicago</t>
  </si>
  <si>
    <t>University of Illinois Springfield</t>
  </si>
  <si>
    <t>University of Illinois Urbana / Champaign</t>
  </si>
  <si>
    <t>Western Illinois</t>
  </si>
  <si>
    <t>Row Labels</t>
  </si>
  <si>
    <t>(blank)</t>
  </si>
  <si>
    <t>Sum of FY2022 State</t>
  </si>
  <si>
    <t>Sum of FY2022 Other</t>
  </si>
  <si>
    <t>Academic Supports</t>
  </si>
  <si>
    <t>Student Centered Access</t>
  </si>
  <si>
    <t>Core Instruction Costs</t>
  </si>
  <si>
    <t>Total</t>
  </si>
  <si>
    <t>Mission</t>
  </si>
  <si>
    <t>How we adjust that for adequacy</t>
  </si>
  <si>
    <t>How we adjust for equity weights</t>
  </si>
  <si>
    <t>How we adjust for capacity/projected enrollment</t>
  </si>
  <si>
    <t>Distribution of costs across components</t>
  </si>
  <si>
    <t>Sum of FY2022 Total</t>
  </si>
  <si>
    <t>What is the base it builds off of</t>
  </si>
  <si>
    <t>Per student IL current spending by category</t>
  </si>
  <si>
    <t>A benchmarked per student adequacy level from high-performing schools</t>
  </si>
  <si>
    <t>Base per student funding amount already adjusted for adequacy</t>
  </si>
  <si>
    <t>Starts with current IL spending, increases it using adequacy benchmarks, adjusts for equity weights, then applies the resulting per FTE amounts to each school's enrollment</t>
  </si>
  <si>
    <t>Calculates a topline cost to fund all IL students benchmarked to other high-performing institutions, then allocates that amount to schools based on their share of factors in each adequacy category</t>
  </si>
  <si>
    <t>Adjustments to the per student amount for each category, with options for 1) hitting a grad rate target, 2) benchmarking to high-performing institutions, or 3) +1 Standard Deviation</t>
  </si>
  <si>
    <t>Weights applied to the per student funding amount for each category</t>
  </si>
  <si>
    <t>Weights applied to the allocation factor within each category</t>
  </si>
  <si>
    <t>The formula would project an enrollment level (incl subpopulations) for each school based on the group's preferred method (historical high, 3-year avg, etc).  The per student funding amount would be applied to that enrollment level.</t>
  </si>
  <si>
    <t>The topline cost would be based on a projected total enrollment for IL, using the group's preferred method (historical high, 3-year avg, etc)</t>
  </si>
  <si>
    <t>Allocate the topline cost across the categories based on the spending pattern of high-performing schools or IL schools.</t>
  </si>
  <si>
    <t>Model 1 - Component level adjustments</t>
  </si>
  <si>
    <t>Model 2 - Top down allocation</t>
  </si>
  <si>
    <t>General Description</t>
  </si>
  <si>
    <t>Column1</t>
  </si>
  <si>
    <t>Use the IL average for each category (whicha assumes that is the "right" distribution)</t>
  </si>
  <si>
    <t>Column Labels</t>
  </si>
  <si>
    <t>All Rev</t>
  </si>
  <si>
    <t>TOTAL INSTRUCTIONAL PROGRAMS</t>
  </si>
  <si>
    <t>TOTAL ORGANIZED RESEARCH</t>
  </si>
  <si>
    <t>TOTAL PUBLIC SERVICE</t>
  </si>
  <si>
    <t>TOTAL INSTITUTIONAL SUPPORT</t>
  </si>
  <si>
    <t>TOTAL PHYSICAL PLANT</t>
  </si>
  <si>
    <t>TOTAL INDEPENDENT OPERATIONS</t>
  </si>
  <si>
    <t>TOTAL REFUNDS/LAPSED FUNDS</t>
  </si>
  <si>
    <t>ADJUSTED ACADEMIC SUPPORT</t>
  </si>
  <si>
    <t>ADJUSTED STUDENT SERVICES</t>
  </si>
  <si>
    <t>Total Expenditures</t>
  </si>
  <si>
    <t>Total Headcount</t>
  </si>
  <si>
    <t>Total FTE</t>
  </si>
  <si>
    <t>State Approp</t>
  </si>
  <si>
    <t>Income Fund</t>
  </si>
  <si>
    <t>Adjusted Income Fund (School Basis)</t>
  </si>
  <si>
    <t>Adjusted Income Fund (Statewide Basis)</t>
  </si>
  <si>
    <t>Total Revenue</t>
  </si>
  <si>
    <t>Total Adequacy</t>
  </si>
  <si>
    <t>Adequacy Gap</t>
  </si>
  <si>
    <t>Percent Increase to Current Revenue if Gap Filled</t>
  </si>
  <si>
    <t>Non-Pell Income</t>
  </si>
  <si>
    <t>Pell Income</t>
  </si>
  <si>
    <t>Total Sum of FY2022 State</t>
  </si>
  <si>
    <t>Total Sum of FY2022 Total</t>
  </si>
  <si>
    <t>Per Headcount Income Fund</t>
  </si>
  <si>
    <t>Per FTE Income Fund</t>
  </si>
  <si>
    <t>Current Resources</t>
  </si>
  <si>
    <t>Mission (Research, Public Service, Artistry)</t>
  </si>
  <si>
    <t>Equity Adjustments</t>
  </si>
  <si>
    <t>Core Instruction</t>
  </si>
  <si>
    <t>Adequacy Component</t>
  </si>
  <si>
    <t>Access</t>
  </si>
  <si>
    <t>High</t>
  </si>
  <si>
    <t>Medium</t>
  </si>
  <si>
    <t>Low</t>
  </si>
  <si>
    <t>Total Equity Adjustment Cost</t>
  </si>
  <si>
    <t>Notes on Base Spending Calculations</t>
  </si>
  <si>
    <t>- Student-Centered Access and Academic Supports are derived from an equal share of the "Academic Supports" expenditure category, after subtracting out Hospital expenditures</t>
  </si>
  <si>
    <t>- System Office expenditures were allocated to each campus based on each campuses' share of total expenditures</t>
  </si>
  <si>
    <t>- SIU Medical expenditures were allocated to SIU Carbondale</t>
  </si>
  <si>
    <t>- Mission is comprised of the expenditure categories "Organized Research" and "Public Service"</t>
  </si>
  <si>
    <t>- O&amp;M is comprised of the expenditure categories "Physical Plant" and "Institutional Support"</t>
  </si>
  <si>
    <t>- Museums is moved from "Academic Supports" to "Mission"</t>
  </si>
  <si>
    <t>Illinois</t>
  </si>
  <si>
    <t>Other as % of Total</t>
  </si>
  <si>
    <t>Academic and Non-Academic Supports</t>
  </si>
  <si>
    <t>Base Spending and Benchmark Adjustments</t>
  </si>
  <si>
    <t>Intensive</t>
  </si>
  <si>
    <t>$2,000-$8,000</t>
  </si>
  <si>
    <t>All Other Programs</t>
  </si>
  <si>
    <t>Total Enrollment</t>
  </si>
  <si>
    <t>Fall 2020-21 Public University Undergraduates By Funding Tier</t>
  </si>
  <si>
    <t>Funding Tier</t>
  </si>
  <si>
    <t>0-None</t>
  </si>
  <si>
    <t>1-Low</t>
  </si>
  <si>
    <t>2-Medium</t>
  </si>
  <si>
    <t>3-High</t>
  </si>
  <si>
    <t>4-Intensive</t>
  </si>
  <si>
    <t>Instiution</t>
  </si>
  <si>
    <t>Count</t>
  </si>
  <si>
    <t>Row N %</t>
  </si>
  <si>
    <t>High + Other</t>
  </si>
  <si>
    <t>American Indian</t>
  </si>
  <si>
    <t>Black/African-American</t>
  </si>
  <si>
    <t>Tier 1 EBF</t>
  </si>
  <si>
    <t>Medium + Other</t>
  </si>
  <si>
    <t>Adult Learner</t>
  </si>
  <si>
    <t>Pell Recipient</t>
  </si>
  <si>
    <t>Latinx</t>
  </si>
  <si>
    <t>2 or more races</t>
  </si>
  <si>
    <t>EBF Tier 2 school</t>
  </si>
  <si>
    <t>Rural</t>
  </si>
  <si>
    <t>Academic and Non-Academic Supports (Undergraduate)</t>
  </si>
  <si>
    <t>Deg Level Code</t>
  </si>
  <si>
    <t>Afr-Amer, Black</t>
  </si>
  <si>
    <t>Amer Indian, AK Native</t>
  </si>
  <si>
    <t>Asian</t>
  </si>
  <si>
    <t>Hispanic</t>
  </si>
  <si>
    <t>Native Hawaii, Other Pacific</t>
  </si>
  <si>
    <t>White</t>
  </si>
  <si>
    <t>2+ races</t>
  </si>
  <si>
    <t>Intl. Stud.</t>
  </si>
  <si>
    <t>Unknown</t>
  </si>
  <si>
    <t>None</t>
  </si>
  <si>
    <t>Grad/Prof Total</t>
  </si>
  <si>
    <t>Academic and Non-Academic Supports (Undergrad)</t>
  </si>
  <si>
    <t>Acad/Non-Acad Supports (Grad/Prof)</t>
  </si>
  <si>
    <t>FY2022 from State &amp; UIF Revenue</t>
  </si>
  <si>
    <t>FY2022 from All Rev Sources</t>
  </si>
  <si>
    <t>State/UIF</t>
  </si>
  <si>
    <t>Benchmark Adjustment</t>
  </si>
  <si>
    <t>Increasing Diversity in High-Cost Fields</t>
  </si>
  <si>
    <t>+</t>
  </si>
  <si>
    <t>=</t>
  </si>
  <si>
    <t>Per Student Adequate Funding</t>
  </si>
  <si>
    <t>UG - Intensive</t>
  </si>
  <si>
    <t xml:space="preserve">UG - High </t>
  </si>
  <si>
    <t xml:space="preserve">UG - Medium </t>
  </si>
  <si>
    <t xml:space="preserve">UG - Low </t>
  </si>
  <si>
    <t xml:space="preserve">Grad - Medium </t>
  </si>
  <si>
    <t xml:space="preserve">Grad - Low </t>
  </si>
  <si>
    <t>UG - Medium</t>
  </si>
  <si>
    <t>Illinois FY2021 Headcount</t>
  </si>
  <si>
    <t>Per Student Base Funding</t>
  </si>
  <si>
    <t>Total Equity Adjustment</t>
  </si>
  <si>
    <t>Total Adequacy Target</t>
  </si>
  <si>
    <t>Adequacy Target Summary</t>
  </si>
  <si>
    <t>A $600/FTE increase in funding increases the likelihood of completing by 1 percentage point; current grad rate is 63.3%.  The $4,276 is allocated to each component proportionally to its current levels.</t>
  </si>
  <si>
    <t>UG - Low</t>
  </si>
  <si>
    <t>Per Student 
Base Funding</t>
  </si>
  <si>
    <t>Total Base 
Funding</t>
  </si>
  <si>
    <t>Number of Students Eligible for Each Equity Adjustment by Adequacy Component</t>
  </si>
  <si>
    <t>N/A</t>
  </si>
  <si>
    <t>Cost of  Each Equity Adjustment by Adequacy Component</t>
  </si>
  <si>
    <t>Faculty Diversity (all students)</t>
  </si>
  <si>
    <t>Average:</t>
  </si>
  <si>
    <t>Instruction and Student Services:
70% Grad Rate</t>
  </si>
  <si>
    <t>O&amp;M - Physical Plant</t>
  </si>
  <si>
    <t>O&amp;M - Institutional Support</t>
  </si>
  <si>
    <t>FY2022 - Expend from State &amp; UIF Revenue per Student</t>
  </si>
  <si>
    <t>FY2022 - Expend from All Rev Sources per Student</t>
  </si>
  <si>
    <t>FY22 Square Footage</t>
  </si>
  <si>
    <t>Illinois FY2022 Total Sq Ft</t>
  </si>
  <si>
    <t>Instruction and Student Services Adequacy Component</t>
  </si>
  <si>
    <t>Base Funding</t>
  </si>
  <si>
    <t>- Non-Academic Supports is derived from "Student Supports" expenditure category, minus expenditures on financial assistance and intercollegiate athletics.  Financial assistance will be accounted for in the Resources Profile for each school.</t>
  </si>
  <si>
    <t>Benchmark Adjustment and Base Funding Notes</t>
  </si>
  <si>
    <t>O&amp;M - Physical Plant (per sq ft)</t>
  </si>
  <si>
    <t>Institutional Support</t>
  </si>
  <si>
    <t>Adequacy</t>
  </si>
  <si>
    <t>Resource Profile</t>
  </si>
  <si>
    <t>Base Cost</t>
  </si>
  <si>
    <t>Adequacy Target</t>
  </si>
  <si>
    <t>Current State Approps</t>
  </si>
  <si>
    <t>Total Base Funding</t>
  </si>
  <si>
    <t>- Financial Aid Administration is moved from "Student Supports" to "Academic Supports" for it to be counted towards Student-Centered Access</t>
  </si>
  <si>
    <t>Subtotal</t>
  </si>
  <si>
    <t>DRAFT INSTITUTION COST AND PRIORITY PROGRAM WEIGHT EXAMPLES</t>
  </si>
  <si>
    <t>High Cost % excluding Medical Doctoral Professional (IBHE Cost Study 2020)</t>
  </si>
  <si>
    <t>Medical Doctoral Professional % (IPEDS Completions 2021)</t>
  </si>
  <si>
    <t>Total Cost Based Weight Factor</t>
  </si>
  <si>
    <t>BIPOC pct of all degrees</t>
  </si>
  <si>
    <t>BIPOC % High Cost Degrees</t>
  </si>
  <si>
    <t>BIPOC pct of Med Prof Degrees</t>
  </si>
  <si>
    <t>Formula</t>
  </si>
  <si>
    <t>All other courses</t>
  </si>
  <si>
    <t>Medical</t>
  </si>
  <si>
    <t>High-cost</t>
  </si>
  <si>
    <t>High-Cost Programs (20% premium)</t>
  </si>
  <si>
    <r>
      <t>O&amp;M - Physical Plant</t>
    </r>
    <r>
      <rPr>
        <sz val="11"/>
        <color theme="1"/>
        <rFont val="Calibri (Body)"/>
      </rPr>
      <t xml:space="preserve"> </t>
    </r>
    <r>
      <rPr>
        <i/>
        <sz val="11"/>
        <color rgb="FFFF0000"/>
        <rFont val="Calibri (Body)"/>
      </rPr>
      <t>(per Square Foot)</t>
    </r>
  </si>
  <si>
    <t>Pell</t>
  </si>
  <si>
    <t>Equity Adjustment</t>
  </si>
  <si>
    <t>Adequacy Gap Per Student</t>
  </si>
  <si>
    <t>Per Student Adjusted Base</t>
  </si>
  <si>
    <t>Current Per Student Expenditures</t>
  </si>
  <si>
    <t>Med/Doc/Professional (100% premium)</t>
  </si>
  <si>
    <t>Students Eligible</t>
  </si>
  <si>
    <t>Total Per Student Adequate Funding</t>
  </si>
  <si>
    <t>Instruction and Student Services 
Adequacy Component</t>
  </si>
  <si>
    <r>
      <t>O&amp;M - Physical Plant</t>
    </r>
    <r>
      <rPr>
        <sz val="11"/>
        <color rgb="FFFF0000"/>
        <rFont val="Calibri (Body)"/>
      </rPr>
      <t xml:space="preserve"> (per sq ft)</t>
    </r>
  </si>
  <si>
    <t>All Students</t>
  </si>
  <si>
    <t>Faculty Diversity Initiative</t>
  </si>
  <si>
    <t>Black</t>
  </si>
  <si>
    <t>Tier 2 EBF</t>
  </si>
  <si>
    <t>Adult</t>
  </si>
  <si>
    <t>&lt;2.5 High School GPA</t>
  </si>
  <si>
    <t>Low + Other</t>
  </si>
  <si>
    <t>Low-income</t>
  </si>
  <si>
    <t>Per Student Adequacy Target</t>
  </si>
  <si>
    <t>Grad</t>
  </si>
  <si>
    <t>Increasing Diversity in Med/Doc/Prof Fields</t>
  </si>
  <si>
    <t>Medical/Doc/Prof Premium</t>
  </si>
  <si>
    <t>High-Cost Premium</t>
  </si>
  <si>
    <t>x=</t>
  </si>
  <si>
    <t xml:space="preserve">American Indian </t>
  </si>
  <si>
    <t>Share of total enrollment that is BIPOC students in High-Cost Programs</t>
  </si>
  <si>
    <t>Share of total enrollment that is BIPOC students in Med/Doc/Prof</t>
  </si>
  <si>
    <t>Increasing Diversity in Med/Doc/Prof</t>
  </si>
  <si>
    <t>Access and Supports</t>
  </si>
  <si>
    <t>Degree Seeking &amp; Grad Only</t>
  </si>
  <si>
    <t>IL Degree-Seeking Headcount</t>
  </si>
  <si>
    <t>Degree-Seeking Headcount</t>
  </si>
  <si>
    <t>Increasing Diversity in Med Prof Fields</t>
  </si>
  <si>
    <t>R1</t>
  </si>
  <si>
    <t>R2, R3</t>
  </si>
  <si>
    <t>Masters</t>
  </si>
  <si>
    <t>R2</t>
  </si>
  <si>
    <t>R3</t>
  </si>
  <si>
    <t>Total Base Funding per Degree-Seeking Student (including Physical Plant)</t>
  </si>
  <si>
    <t>Total Base Funding per Degree-Seeking Student (excluding Physical Plant)</t>
  </si>
  <si>
    <t>Other Resources</t>
  </si>
  <si>
    <t>Total Resources Profile</t>
  </si>
  <si>
    <t>Resource Profile Summary</t>
  </si>
  <si>
    <t>Physical Plant per student</t>
  </si>
  <si>
    <t>Current Enrollment (Degree-Seeking)</t>
  </si>
  <si>
    <t>$14,259 = 2*.023*x+1.2*.193*x+1*.784*x</t>
  </si>
  <si>
    <t>Adequacy Target per Student</t>
  </si>
  <si>
    <t>Total Resources per Student</t>
  </si>
  <si>
    <t>- Direct Patient Care is removed from "Public Service"</t>
  </si>
  <si>
    <t>Carnegie Classification</t>
  </si>
  <si>
    <t>$422-$4,451</t>
  </si>
  <si>
    <t>$500-$1,000</t>
  </si>
  <si>
    <t>Concentration Adjustment</t>
  </si>
  <si>
    <t>&gt;75%</t>
  </si>
  <si>
    <t>60-75%</t>
  </si>
  <si>
    <t>50-60%</t>
  </si>
  <si>
    <t>ESS Index</t>
  </si>
  <si>
    <r>
      <t xml:space="preserve">Percentage of Students at a School in Each Student Share Category
</t>
    </r>
    <r>
      <rPr>
        <sz val="11"/>
        <color theme="1"/>
        <rFont val="Calibri"/>
        <family val="2"/>
        <scheme val="minor"/>
      </rPr>
      <t>0% = no state share, all UIF;  100% = no student share, state fully subsidizes</t>
    </r>
  </si>
  <si>
    <t>Residents Paying Less than 25%</t>
  </si>
  <si>
    <t>Residents Paying Less than 50%</t>
  </si>
  <si>
    <t>Pell Eligible Paying 0%</t>
  </si>
  <si>
    <t>Pell Eligible Paying Less than 25%</t>
  </si>
  <si>
    <t>2025 Affordability Factor (5% of Preliminary)</t>
  </si>
  <si>
    <t>University Median</t>
  </si>
  <si>
    <t>University A</t>
  </si>
  <si>
    <t>University B</t>
  </si>
  <si>
    <t>University C</t>
  </si>
  <si>
    <t>University D</t>
  </si>
  <si>
    <t>2024 Preliminary ESS</t>
  </si>
  <si>
    <t>2024 Final ESS</t>
  </si>
  <si>
    <t>All Programs</t>
  </si>
  <si>
    <t>High-Cost 
Add-On</t>
  </si>
  <si>
    <t>Degree Seeking Headcount</t>
  </si>
  <si>
    <t>Headcount/FTE ratio</t>
  </si>
  <si>
    <t>FY 2021 Headcount</t>
  </si>
  <si>
    <t>FY21 UG Degree-Seeking Headcount</t>
  </si>
  <si>
    <t>100% Student Share</t>
  </si>
  <si>
    <t>75% Student Share</t>
  </si>
  <si>
    <t>50% Student Share</t>
  </si>
  <si>
    <t>Adjusted Equitable Student Share</t>
  </si>
  <si>
    <t>Med/Doc/Prof Diversity Premium</t>
  </si>
  <si>
    <t>High-Cost Diversity Premium</t>
  </si>
  <si>
    <t>FY22 State Operating Approps</t>
  </si>
  <si>
    <t>Degree-Seeking Enrollment</t>
  </si>
  <si>
    <t>ESS</t>
  </si>
  <si>
    <t>University E</t>
  </si>
  <si>
    <t>Equitable Student Share</t>
  </si>
  <si>
    <t>Percentages of Students in each Student Share Category</t>
  </si>
  <si>
    <t>25% Stiudent Share</t>
  </si>
  <si>
    <t>0% Stiudent Share</t>
  </si>
  <si>
    <t>FY2022 Expenditures</t>
  </si>
  <si>
    <t>Headcount - FY21</t>
  </si>
  <si>
    <t>FTE - FY20</t>
  </si>
  <si>
    <t>2023 Equitable Student Share</t>
  </si>
  <si>
    <t>+5% Margin of Error</t>
  </si>
  <si>
    <t>2023 Actual External T&amp;F Revenue</t>
  </si>
  <si>
    <t>2023 Excess Revenue</t>
  </si>
  <si>
    <t>2024 Equitable Student Share</t>
  </si>
  <si>
    <t>Operations and Maintenance Adequacy</t>
  </si>
  <si>
    <r>
      <t>Administrative Operations Support</t>
    </r>
    <r>
      <rPr>
        <b/>
        <vertAlign val="superscript"/>
        <sz val="11"/>
        <color theme="1"/>
        <rFont val="Calibri"/>
        <family val="2"/>
        <scheme val="minor"/>
      </rPr>
      <t>1</t>
    </r>
  </si>
  <si>
    <r>
      <t>Facilities Operations Support</t>
    </r>
    <r>
      <rPr>
        <b/>
        <vertAlign val="superscript"/>
        <sz val="11"/>
        <color theme="1"/>
        <rFont val="Calibri"/>
        <family val="2"/>
        <scheme val="minor"/>
      </rPr>
      <t>2</t>
    </r>
  </si>
  <si>
    <r>
      <t>Maintenance (Minor Remodeling) Support</t>
    </r>
    <r>
      <rPr>
        <b/>
        <vertAlign val="superscript"/>
        <sz val="11"/>
        <color theme="1"/>
        <rFont val="Calibri"/>
        <family val="2"/>
        <scheme val="minor"/>
      </rPr>
      <t>3</t>
    </r>
  </si>
  <si>
    <t>Source: Annual Operating RAMP Function 06 - Institutional Support</t>
  </si>
  <si>
    <t>Sources: Annual Operating RAMP Function 07 - O &amp; M of Physical Plant and Tables F3 and F4 Annual Capital RAMP</t>
  </si>
  <si>
    <t>Source: Annual Capital RAMP Table F-4</t>
  </si>
  <si>
    <t>Adjustments: School Size Factor: &lt;10,000 30%, 10,000-20,000 15%, &gt; 20,000 no adj.</t>
  </si>
  <si>
    <t>Adjustments: Excludes Subfunctions Repairs/Maintenance and Permanent Improvements</t>
  </si>
  <si>
    <t>School Size Adjustment</t>
  </si>
  <si>
    <t>Adequacy per HC with Adjustment</t>
  </si>
  <si>
    <t>Adequacy Administrative Operations</t>
  </si>
  <si>
    <t>Current
Facilities Operations Per SF</t>
  </si>
  <si>
    <t>Non-Laboratory Space SF (FY24)</t>
  </si>
  <si>
    <t>Non-Laboratory Space Factor</t>
  </si>
  <si>
    <t>Facilities Operations Non-Labortory Space</t>
  </si>
  <si>
    <t>Laboratory Space</t>
  </si>
  <si>
    <t>'+30%
Labortory Space Factor</t>
  </si>
  <si>
    <t>Facilities Operations Laboratory Space</t>
  </si>
  <si>
    <t>Adequacy Facilities Operations</t>
  </si>
  <si>
    <t>Recommended  Spend on Minor Remodeling</t>
  </si>
  <si>
    <t>Average</t>
  </si>
  <si>
    <r>
      <rPr>
        <vertAlign val="superscript"/>
        <sz val="11"/>
        <color theme="1"/>
        <rFont val="Calibri"/>
        <family val="2"/>
        <scheme val="minor"/>
      </rPr>
      <t>1</t>
    </r>
    <r>
      <rPr>
        <sz val="11"/>
        <color theme="1"/>
        <rFont val="Calibri"/>
        <family val="2"/>
        <scheme val="minor"/>
      </rPr>
      <t>Includes administrative costs such as Human Resources, Comptroller, technology infrastructure and support.</t>
    </r>
  </si>
  <si>
    <r>
      <rPr>
        <vertAlign val="superscript"/>
        <sz val="11"/>
        <color theme="1"/>
        <rFont val="Calibri"/>
        <family val="2"/>
        <scheme val="minor"/>
      </rPr>
      <t>2</t>
    </r>
    <r>
      <rPr>
        <sz val="11"/>
        <color theme="1"/>
        <rFont val="Calibri"/>
        <family val="2"/>
        <scheme val="minor"/>
      </rPr>
      <t>Includes Personnel and Operating in support of custodial, grounds, utilities, Security, Fire Protection, Transportation, rental of space</t>
    </r>
  </si>
  <si>
    <r>
      <rPr>
        <vertAlign val="superscript"/>
        <sz val="11"/>
        <color theme="1"/>
        <rFont val="Calibri"/>
        <family val="2"/>
        <scheme val="minor"/>
      </rPr>
      <t>3</t>
    </r>
    <r>
      <rPr>
        <sz val="11"/>
        <color theme="1"/>
        <rFont val="Calibri"/>
        <family val="2"/>
        <scheme val="minor"/>
      </rPr>
      <t>Represents less than 1% of replacement value for state-supported space.</t>
    </r>
  </si>
  <si>
    <t>Avg  Spend on Minor Remodeling per Sq Ft</t>
  </si>
  <si>
    <t>Adequacy Spend on Minor Remodeling</t>
  </si>
  <si>
    <t>Non-Laboratory Space</t>
  </si>
  <si>
    <t>Small School Size</t>
  </si>
  <si>
    <t>Medium School Size</t>
  </si>
  <si>
    <t>Small School Adjustment</t>
  </si>
  <si>
    <t>Med School Adjustment</t>
  </si>
  <si>
    <t>$242-$485</t>
  </si>
  <si>
    <t>$242-$13,936</t>
  </si>
  <si>
    <t>School Size</t>
  </si>
  <si>
    <t>Non-Lab Sq Ft</t>
  </si>
  <si>
    <t>Lab Sq Ft</t>
  </si>
  <si>
    <t>Intensive and High Combined</t>
  </si>
  <si>
    <t>Affordability Adjustment</t>
  </si>
  <si>
    <t>Gap as Percent of Target</t>
  </si>
  <si>
    <t>Med/Doc/Prof 
Add-On</t>
  </si>
  <si>
    <t>Based on IL research spending according to NSF data ($600-$1,800) and national cost study data of additional cost of artistry courses ($200)</t>
  </si>
  <si>
    <t>Sets the base level at the IL avg per student amount</t>
  </si>
  <si>
    <t>Sets the base level at the IL avg per sq ft amount</t>
  </si>
  <si>
    <t>Sets the base level at the lesser of current spending or IL avg per sq ft amount</t>
  </si>
  <si>
    <t>All Space</t>
  </si>
  <si>
    <t>Average Spend per Degree-Seeking HC</t>
  </si>
  <si>
    <t>Note: The example institutions don't represent the full range of IL universities.  We expect the gap as a percent of the adequacy target to range from about 25%-65%, with most schools in the 40-50% range.</t>
  </si>
  <si>
    <t>Percent of Students in Med/Doc/Prof Programs</t>
  </si>
  <si>
    <t>Percent of Students in High-Cost Programs</t>
  </si>
  <si>
    <t>Note: We recalculated the cost for O&amp;M using only degree-seeking students, hence the difference from what was presented to the group last meeting.</t>
  </si>
  <si>
    <t>Faculty Diversity 
(all students)</t>
  </si>
  <si>
    <t>Note:  The Concentration Adjustment is based on the percent of students who are in the Intensive and High tiers of the Academic/Non-Academic Supports.  See the "Tier Counts" tab for the details.  The adjustment is applied to the Academic and Non-Academic Support amounts.</t>
  </si>
  <si>
    <t>Academic and Non-Academic Support Tiers Used</t>
  </si>
  <si>
    <t>Acces Tiers Used</t>
  </si>
  <si>
    <t>&lt;2.5 HS GPA</t>
  </si>
  <si>
    <t>Note:  Pending new student-level data, we are using the counts developed for the Academic and Non-Academic Support undergrad tiers as proxies for the Access tiers.  Once we receive the data, we will calculate these based on the student groups that are assigned to each tier.</t>
  </si>
  <si>
    <t>Other Resources that will be counted in the Resource Profile are still under development.</t>
  </si>
  <si>
    <t>Note: The amount is the combination of Access, Academic Supports, and Non-Academic Supports</t>
  </si>
  <si>
    <t>Note:  The Mission and Other Resources Group have developed a new proposal that reduces the R1 Mission cost, which we will discuss at the next meeting.  This reflects the new proposal.</t>
  </si>
  <si>
    <t>Note: We converted the amounts for Minor Remodeling into a per sq ft amount for easier use in the formula and for future changes in space.</t>
  </si>
  <si>
    <t>Option 2 - Affordability Metric - Reduce a university's ESS if they meet or make progress towards affordability benchmarks.</t>
  </si>
  <si>
    <t>Option 1 - Compare ESS to Actuals - Adjust the following year's ESS by any tuition revenue collected the prior year in excess of the ESS level (+5% margin of error).</t>
  </si>
  <si>
    <t>Draft Threshold</t>
  </si>
  <si>
    <t>Note: This version of Option 2 is using the percent of Pell-Eligible students paying 0% of tuition and fees as the affordability metric.</t>
  </si>
  <si>
    <t>Note:  This adjustment would incentivize schools to reach or make progress towards certain levels of affordability.  Options for this adjustment were presented at the most recent Commission meeting and are shown in the "ESS Affordability Adjustment" tab.  Currently, the model uses Option 1 (compare to actual) and illustrates  two schools bringing in more tuition revenue than their ESS (+5% margin of error).</t>
  </si>
  <si>
    <t>Per Student Baseline (All Rev Sources)</t>
  </si>
  <si>
    <t>Note: If you wish to see the model with the previous benchmark adjustment, you change the $0 to $4,276 in cell K24 to the left.</t>
  </si>
  <si>
    <t>See note in "Per Student Base Funding" tab about the Benchmark Adjustment</t>
  </si>
  <si>
    <t>Note: We have set the benchmark adjustment at $0 for this version.  The intention of this adjustment is to account for historical underfunding of the whole system and to increase average spending to a level correlated with certain outcomes (originally $4,276 per student for a 70% statewide graduation rate).  Commission and workgroup feedback has indicated less priority on this adjustment than the equity adjustments.  Further, the equity adjustments increase per student spending by about $4,100 - very close to the original $4,276 benchmark adjustment.  Therefore, we can think of the equity adjustments as providing the funding increase associated with the improvement in outcomes.</t>
  </si>
  <si>
    <t>Note: The funding for each program type is derived from a weighted average of current enrollment.  See "High-Cost Programs" tab for more detail.</t>
  </si>
  <si>
    <t>School Factor</t>
  </si>
  <si>
    <t>Costs for program</t>
  </si>
  <si>
    <t>Statewide Average Core Instruction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</si>
</sst>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00"/>
    <numFmt numFmtId="167" formatCode="_(* #,##0.0_);_(* \(#,##0.0\);_(* &quot;-&quot;?_);_(@_)"/>
    <numFmt numFmtId="168" formatCode="_(* #,##0_);_(* \(#,##0\);_(* &quot;-&quot;??_);_(@_)"/>
    <numFmt numFmtId="169" formatCode="_(* #,##0_);_(* \(#,##0\);_(* &quot;-&quot;?_);_(@_)"/>
    <numFmt numFmtId="170" formatCode="###0"/>
    <numFmt numFmtId="171" formatCode="###0.0%"/>
    <numFmt numFmtId="172" formatCode="0.000000"/>
    <numFmt numFmtId="173" formatCode="&quot;$&quot;#,##0.0"/>
    <numFmt numFmtId="174" formatCode="0.0%"/>
    <numFmt numFmtId="175" formatCode="0.000"/>
    <numFmt numFmtId="176" formatCode="#,##0.0_);[Red]\(#,##0.0\)"/>
  </numFmts>
  <fonts count="44"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9"/>
      <color theme="1"/>
      <name val="Times New Roman"/>
      <family val="1"/>
    </font>
    <font>
      <b/>
      <sz val="9"/>
      <name val="Tw Cen MT"/>
      <family val="2"/>
    </font>
    <font>
      <b/>
      <u/>
      <sz val="11"/>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i/>
      <sz val="11"/>
      <color theme="1"/>
      <name val="Calibri"/>
      <family val="2"/>
      <scheme val="minor"/>
    </font>
    <font>
      <sz val="10"/>
      <name val="Arial"/>
      <family val="2"/>
    </font>
    <font>
      <sz val="9"/>
      <color indexed="8"/>
      <name val="Arial"/>
      <family val="2"/>
    </font>
    <font>
      <sz val="12"/>
      <color rgb="FF000000"/>
      <name val="Arial"/>
      <family val="2"/>
    </font>
    <font>
      <b/>
      <sz val="10"/>
      <color rgb="FF000000"/>
      <name val="Calibri"/>
      <family val="2"/>
      <scheme val="minor"/>
    </font>
    <font>
      <b/>
      <sz val="12"/>
      <color rgb="FF000000"/>
      <name val="Calibri"/>
      <family val="2"/>
      <scheme val="minor"/>
    </font>
    <font>
      <b/>
      <sz val="11"/>
      <color theme="1"/>
      <name val="Times New Roman"/>
      <family val="1"/>
    </font>
    <font>
      <b/>
      <sz val="11"/>
      <name val="Tw Cen MT"/>
      <family val="2"/>
    </font>
    <font>
      <sz val="12"/>
      <color rgb="FF000000"/>
      <name val="Calibri"/>
      <family val="2"/>
      <scheme val="minor"/>
    </font>
    <font>
      <sz val="16"/>
      <color theme="1"/>
      <name val="Calibri"/>
      <family val="2"/>
      <scheme val="minor"/>
    </font>
    <font>
      <sz val="11"/>
      <color theme="1"/>
      <name val="Calibri (Body)"/>
    </font>
    <font>
      <b/>
      <i/>
      <sz val="11"/>
      <color theme="1"/>
      <name val="Calibri"/>
      <family val="2"/>
      <scheme val="minor"/>
    </font>
    <font>
      <b/>
      <sz val="12"/>
      <color theme="1"/>
      <name val="Calibri"/>
      <family val="2"/>
      <scheme val="minor"/>
    </font>
    <font>
      <sz val="11"/>
      <color theme="1"/>
      <name val="Calibri"/>
      <family val="2"/>
    </font>
    <font>
      <sz val="12"/>
      <color theme="0"/>
      <name val="Calibri (Body)"/>
    </font>
    <font>
      <b/>
      <sz val="12"/>
      <color theme="0"/>
      <name val="Calibri (Body)"/>
    </font>
    <font>
      <b/>
      <sz val="11"/>
      <color rgb="FF000000"/>
      <name val="Calibri"/>
      <family val="2"/>
    </font>
    <font>
      <b/>
      <sz val="11"/>
      <color theme="0"/>
      <name val="Calibri (Body)"/>
    </font>
    <font>
      <i/>
      <sz val="11"/>
      <color rgb="FFFF0000"/>
      <name val="Calibri (Body)"/>
    </font>
    <font>
      <sz val="12"/>
      <color theme="1"/>
      <name val="Calibri"/>
      <family val="2"/>
    </font>
    <font>
      <sz val="11"/>
      <color rgb="FFFF0000"/>
      <name val="Calibri (Body)"/>
    </font>
    <font>
      <sz val="11"/>
      <color rgb="FFFF0000"/>
      <name val="Calibri"/>
      <family val="2"/>
      <scheme val="minor"/>
    </font>
    <font>
      <b/>
      <sz val="11"/>
      <color rgb="FFFF0000"/>
      <name val="Calibri"/>
      <family val="2"/>
      <scheme val="minor"/>
    </font>
    <font>
      <b/>
      <sz val="16"/>
      <color theme="1"/>
      <name val="Calibri"/>
      <family val="2"/>
      <scheme val="minor"/>
    </font>
    <font>
      <b/>
      <sz val="10"/>
      <color rgb="FF000000"/>
      <name val="Calibri"/>
      <family val="2"/>
    </font>
    <font>
      <b/>
      <sz val="12"/>
      <color rgb="FF000000"/>
      <name val="Calibri"/>
      <family val="2"/>
    </font>
    <font>
      <b/>
      <sz val="11"/>
      <color theme="1"/>
      <name val="Calibri"/>
      <family val="2"/>
    </font>
    <font>
      <b/>
      <u/>
      <sz val="11"/>
      <color rgb="FF000000"/>
      <name val="Calibri"/>
      <family val="2"/>
    </font>
    <font>
      <b/>
      <vertAlign val="superscript"/>
      <sz val="11"/>
      <color theme="1"/>
      <name val="Calibri"/>
      <family val="2"/>
      <scheme val="minor"/>
    </font>
    <font>
      <vertAlign val="superscript"/>
      <sz val="11"/>
      <color theme="1"/>
      <name val="Calibri"/>
      <family val="2"/>
      <scheme val="minor"/>
    </font>
  </fonts>
  <fills count="16">
    <fill>
      <patternFill patternType="none"/>
    </fill>
    <fill>
      <patternFill patternType="gray125"/>
    </fill>
    <fill>
      <patternFill patternType="solid">
        <fgColor theme="1"/>
        <bgColor indexed="64"/>
      </patternFill>
    </fill>
    <fill>
      <patternFill patternType="solid">
        <fgColor theme="4"/>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2"/>
        <bgColor indexed="64"/>
      </patternFill>
    </fill>
    <fill>
      <patternFill patternType="solid">
        <fgColor rgb="FFC0C0C0"/>
        <bgColor indexed="64"/>
      </patternFill>
    </fill>
    <fill>
      <patternFill patternType="solid">
        <fgColor rgb="FFB4C6E7"/>
        <bgColor rgb="FF000000"/>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0C0C0"/>
        <bgColor rgb="FF000000"/>
      </patternFill>
    </fill>
  </fills>
  <borders count="47">
    <border>
      <left/>
      <right/>
      <top/>
      <bottom/>
      <diagonal/>
    </border>
    <border>
      <left style="medium">
        <color indexed="64"/>
      </left>
      <right/>
      <top/>
      <bottom/>
      <diagonal/>
    </border>
    <border>
      <left/>
      <right/>
      <top/>
      <bottom style="thin">
        <color indexed="64"/>
      </bottom>
      <diagonal/>
    </border>
    <border>
      <left style="medium">
        <color indexed="64"/>
      </left>
      <right/>
      <top/>
      <bottom style="thin">
        <color indexed="64"/>
      </bottom>
      <diagonal/>
    </border>
    <border>
      <left/>
      <right/>
      <top style="thin">
        <color indexed="64"/>
      </top>
      <bottom/>
      <diagonal/>
    </border>
    <border>
      <left/>
      <right style="thick">
        <color indexed="8"/>
      </right>
      <top style="thick">
        <color indexed="8"/>
      </top>
      <bottom/>
      <diagonal/>
    </border>
    <border>
      <left/>
      <right/>
      <top style="thick">
        <color indexed="8"/>
      </top>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right style="thick">
        <color indexed="8"/>
      </right>
      <top/>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ck">
        <color indexed="8"/>
      </right>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medium">
        <color indexed="64"/>
      </left>
      <right style="medium">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5" fillId="0" borderId="0"/>
  </cellStyleXfs>
  <cellXfs count="334">
    <xf numFmtId="0" fontId="0" fillId="0" borderId="0" xfId="0"/>
    <xf numFmtId="0" fontId="3" fillId="0" borderId="0" xfId="1"/>
    <xf numFmtId="0" fontId="5" fillId="0" borderId="0" xfId="1" applyFont="1"/>
    <xf numFmtId="0" fontId="5" fillId="0" borderId="0" xfId="1" applyFont="1" applyAlignment="1">
      <alignment horizontal="center"/>
    </xf>
    <xf numFmtId="40" fontId="3" fillId="0" borderId="0" xfId="1" applyNumberFormat="1"/>
    <xf numFmtId="40" fontId="5" fillId="0" borderId="0" xfId="1" applyNumberFormat="1" applyFont="1" applyAlignment="1">
      <alignment horizontal="right"/>
    </xf>
    <xf numFmtId="0" fontId="3" fillId="0" borderId="0" xfId="1" applyAlignment="1">
      <alignment horizontal="center"/>
    </xf>
    <xf numFmtId="0" fontId="6" fillId="3" borderId="0" xfId="1" applyFont="1" applyFill="1" applyAlignment="1">
      <alignment horizontal="center"/>
    </xf>
    <xf numFmtId="0" fontId="6" fillId="3" borderId="0" xfId="1" applyFont="1" applyFill="1"/>
    <xf numFmtId="40" fontId="6" fillId="3" borderId="0" xfId="1" applyNumberFormat="1" applyFont="1" applyFill="1"/>
    <xf numFmtId="0" fontId="6" fillId="2" borderId="0" xfId="1" applyFont="1" applyFill="1" applyAlignment="1">
      <alignment horizontal="center"/>
    </xf>
    <xf numFmtId="0" fontId="6" fillId="2" borderId="0" xfId="1" applyFont="1" applyFill="1"/>
    <xf numFmtId="40" fontId="6" fillId="2" borderId="0" xfId="1" applyNumberFormat="1" applyFont="1" applyFill="1"/>
    <xf numFmtId="0" fontId="5" fillId="0" borderId="0" xfId="2" applyFont="1" applyAlignment="1">
      <alignment horizontal="center" vertical="center" wrapText="1"/>
    </xf>
    <xf numFmtId="0" fontId="0" fillId="0" borderId="0" xfId="0" pivotButton="1"/>
    <xf numFmtId="0" fontId="0" fillId="0" borderId="0" xfId="0" applyAlignment="1">
      <alignment horizontal="left"/>
    </xf>
    <xf numFmtId="9" fontId="0" fillId="0" borderId="0" xfId="4" applyFont="1"/>
    <xf numFmtId="0" fontId="5" fillId="0" borderId="0" xfId="0" applyFont="1"/>
    <xf numFmtId="38" fontId="0" fillId="0" borderId="0" xfId="0" applyNumberFormat="1"/>
    <xf numFmtId="164" fontId="0" fillId="0" borderId="0" xfId="0" applyNumberFormat="1"/>
    <xf numFmtId="0" fontId="5" fillId="0" borderId="0" xfId="0" applyFont="1" applyAlignment="1">
      <alignment horizontal="center"/>
    </xf>
    <xf numFmtId="0" fontId="0" fillId="0" borderId="0" xfId="0" applyAlignment="1">
      <alignment wrapText="1"/>
    </xf>
    <xf numFmtId="0" fontId="5" fillId="0" borderId="0" xfId="0" applyFont="1" applyAlignment="1">
      <alignment horizontal="center" wrapText="1"/>
    </xf>
    <xf numFmtId="0" fontId="5" fillId="0" borderId="0" xfId="0" applyFont="1" applyAlignment="1">
      <alignment horizontal="left" indent="2"/>
    </xf>
    <xf numFmtId="164" fontId="5" fillId="0" borderId="0" xfId="0" applyNumberFormat="1" applyFont="1"/>
    <xf numFmtId="165" fontId="0" fillId="0" borderId="0" xfId="5" applyNumberFormat="1" applyFont="1"/>
    <xf numFmtId="0" fontId="5" fillId="0" borderId="0" xfId="0" applyFont="1" applyAlignment="1">
      <alignment vertical="center"/>
    </xf>
    <xf numFmtId="0" fontId="5" fillId="0" borderId="2" xfId="0" applyFont="1" applyBorder="1"/>
    <xf numFmtId="0" fontId="0" fillId="0" borderId="0" xfId="0" applyAlignment="1">
      <alignment vertical="center" wrapText="1"/>
    </xf>
    <xf numFmtId="165" fontId="0" fillId="0" borderId="0" xfId="0" applyNumberFormat="1"/>
    <xf numFmtId="164" fontId="0" fillId="0" borderId="0" xfId="5" applyNumberFormat="1" applyFont="1"/>
    <xf numFmtId="0" fontId="0" fillId="0" borderId="0" xfId="0" applyAlignment="1">
      <alignment horizontal="center"/>
    </xf>
    <xf numFmtId="6" fontId="0" fillId="0" borderId="0" xfId="0" applyNumberFormat="1"/>
    <xf numFmtId="167" fontId="8" fillId="0" borderId="0" xfId="0" applyNumberFormat="1" applyFont="1"/>
    <xf numFmtId="0" fontId="9" fillId="5" borderId="3" xfId="2" applyFont="1" applyFill="1" applyBorder="1" applyAlignment="1">
      <alignment horizontal="left"/>
    </xf>
    <xf numFmtId="168" fontId="0" fillId="0" borderId="0" xfId="6" applyNumberFormat="1" applyFont="1"/>
    <xf numFmtId="169" fontId="8" fillId="0" borderId="0" xfId="0" applyNumberFormat="1" applyFont="1"/>
    <xf numFmtId="0" fontId="5" fillId="0" borderId="2" xfId="0" applyFont="1" applyBorder="1" applyAlignment="1">
      <alignment horizontal="center" vertical="center" wrapText="1"/>
    </xf>
    <xf numFmtId="6" fontId="5" fillId="0" borderId="0" xfId="0" applyNumberFormat="1" applyFont="1"/>
    <xf numFmtId="0" fontId="11" fillId="0" borderId="0" xfId="0" applyFont="1" applyAlignment="1">
      <alignment vertical="center"/>
    </xf>
    <xf numFmtId="38" fontId="11" fillId="0" borderId="0" xfId="0" applyNumberFormat="1" applyFont="1" applyAlignment="1">
      <alignment horizontal="center" vertical="center" wrapText="1"/>
    </xf>
    <xf numFmtId="0" fontId="12" fillId="0" borderId="0" xfId="0" applyFont="1" applyAlignment="1">
      <alignment vertical="center"/>
    </xf>
    <xf numFmtId="166" fontId="5" fillId="0" borderId="0" xfId="0" applyNumberFormat="1" applyFont="1"/>
    <xf numFmtId="164" fontId="0" fillId="6" borderId="0" xfId="0" applyNumberFormat="1" applyFill="1"/>
    <xf numFmtId="164" fontId="5" fillId="6" borderId="0" xfId="0" applyNumberFormat="1" applyFont="1" applyFill="1"/>
    <xf numFmtId="0" fontId="5" fillId="0" borderId="0" xfId="0" applyFont="1" applyAlignment="1">
      <alignment horizontal="center" vertical="center" wrapText="1"/>
    </xf>
    <xf numFmtId="0" fontId="5" fillId="6" borderId="0" xfId="0" applyFont="1" applyFill="1" applyAlignment="1">
      <alignment horizontal="center" vertical="center" wrapText="1"/>
    </xf>
    <xf numFmtId="0" fontId="7" fillId="0" borderId="0" xfId="0" applyFont="1" applyAlignment="1">
      <alignment vertical="center" textRotation="90"/>
    </xf>
    <xf numFmtId="166" fontId="0" fillId="0" borderId="0" xfId="0" applyNumberFormat="1"/>
    <xf numFmtId="6" fontId="0" fillId="8" borderId="0" xfId="0" applyNumberFormat="1" applyFill="1"/>
    <xf numFmtId="0" fontId="0" fillId="8" borderId="0" xfId="0" applyFill="1"/>
    <xf numFmtId="0" fontId="0" fillId="0" borderId="2" xfId="0" applyBorder="1" applyAlignment="1">
      <alignment horizontal="center"/>
    </xf>
    <xf numFmtId="0" fontId="0" fillId="0" borderId="2" xfId="0" applyBorder="1"/>
    <xf numFmtId="0" fontId="0" fillId="0" borderId="0" xfId="0" applyAlignment="1">
      <alignment vertical="center"/>
    </xf>
    <xf numFmtId="0" fontId="5" fillId="0" borderId="2" xfId="0" applyFont="1" applyBorder="1" applyAlignment="1">
      <alignment horizontal="center" vertical="center"/>
    </xf>
    <xf numFmtId="0" fontId="5" fillId="0" borderId="0" xfId="0" applyFont="1" applyAlignment="1">
      <alignment vertical="center" wrapText="1"/>
    </xf>
    <xf numFmtId="0" fontId="5" fillId="0" borderId="2" xfId="0" quotePrefix="1"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5" fillId="4" borderId="2" xfId="0" applyFont="1" applyFill="1" applyBorder="1" applyAlignment="1">
      <alignment horizontal="center" vertical="center" wrapText="1"/>
    </xf>
    <xf numFmtId="0" fontId="0" fillId="8" borderId="2" xfId="0" applyFill="1" applyBorder="1"/>
    <xf numFmtId="6" fontId="0" fillId="8" borderId="2" xfId="0" applyNumberFormat="1" applyFill="1" applyBorder="1"/>
    <xf numFmtId="164" fontId="0" fillId="0" borderId="2" xfId="0" applyNumberFormat="1" applyBorder="1"/>
    <xf numFmtId="0" fontId="5" fillId="0" borderId="2" xfId="0" applyFont="1" applyBorder="1" applyAlignment="1">
      <alignment vertical="center"/>
    </xf>
    <xf numFmtId="0" fontId="7" fillId="0" borderId="0" xfId="0" applyFont="1" applyAlignment="1">
      <alignment vertical="center" textRotation="90" wrapText="1"/>
    </xf>
    <xf numFmtId="6" fontId="5"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10" fillId="0" borderId="0" xfId="0" applyFont="1"/>
    <xf numFmtId="9" fontId="3" fillId="0" borderId="0" xfId="4"/>
    <xf numFmtId="0" fontId="5" fillId="6" borderId="2" xfId="0" applyFont="1" applyFill="1" applyBorder="1" applyAlignment="1">
      <alignment horizontal="center" vertical="center" wrapText="1"/>
    </xf>
    <xf numFmtId="164" fontId="0" fillId="6" borderId="2" xfId="0" applyNumberFormat="1" applyFill="1" applyBorder="1"/>
    <xf numFmtId="0" fontId="0" fillId="6" borderId="0" xfId="0" applyFill="1" applyAlignment="1">
      <alignment horizontal="right"/>
    </xf>
    <xf numFmtId="0" fontId="0" fillId="6" borderId="2" xfId="0" applyFill="1" applyBorder="1" applyAlignment="1">
      <alignment horizontal="right"/>
    </xf>
    <xf numFmtId="164" fontId="5" fillId="6" borderId="0" xfId="0" applyNumberFormat="1" applyFont="1" applyFill="1" applyAlignment="1">
      <alignment horizontal="right"/>
    </xf>
    <xf numFmtId="0" fontId="5" fillId="0" borderId="0" xfId="0" applyFont="1" applyAlignment="1">
      <alignment horizontal="right"/>
    </xf>
    <xf numFmtId="0" fontId="14" fillId="0" borderId="0" xfId="0" applyFont="1"/>
    <xf numFmtId="0" fontId="14" fillId="8" borderId="0" xfId="0" applyFont="1" applyFill="1" applyAlignment="1">
      <alignment horizontal="left" indent="3"/>
    </xf>
    <xf numFmtId="0" fontId="14" fillId="8" borderId="0" xfId="0" applyFont="1" applyFill="1" applyAlignment="1">
      <alignment horizontal="left" indent="2"/>
    </xf>
    <xf numFmtId="164" fontId="14" fillId="8" borderId="0" xfId="0" applyNumberFormat="1" applyFont="1" applyFill="1"/>
    <xf numFmtId="9" fontId="5" fillId="0" borderId="0" xfId="4" applyFont="1"/>
    <xf numFmtId="0" fontId="16" fillId="0" borderId="5" xfId="7" applyFont="1" applyBorder="1" applyAlignment="1">
      <alignment wrapText="1"/>
    </xf>
    <xf numFmtId="0" fontId="16" fillId="0" borderId="6" xfId="7" applyFont="1" applyBorder="1" applyAlignment="1">
      <alignment wrapText="1"/>
    </xf>
    <xf numFmtId="0" fontId="15" fillId="0" borderId="0" xfId="7"/>
    <xf numFmtId="0" fontId="16" fillId="0" borderId="10" xfId="7" applyFont="1" applyBorder="1" applyAlignment="1">
      <alignment wrapText="1"/>
    </xf>
    <xf numFmtId="0" fontId="16" fillId="0" borderId="0" xfId="7" applyFont="1" applyAlignment="1">
      <alignment wrapText="1"/>
    </xf>
    <xf numFmtId="0" fontId="16" fillId="0" borderId="14" xfId="7" applyFont="1" applyBorder="1" applyAlignment="1">
      <alignment wrapText="1"/>
    </xf>
    <xf numFmtId="0" fontId="16" fillId="0" borderId="15" xfId="7" applyFont="1" applyBorder="1" applyAlignment="1">
      <alignment horizontal="center" wrapText="1"/>
    </xf>
    <xf numFmtId="0" fontId="16" fillId="0" borderId="16" xfId="7" applyFont="1" applyBorder="1" applyAlignment="1">
      <alignment horizontal="center" wrapText="1"/>
    </xf>
    <xf numFmtId="0" fontId="16" fillId="0" borderId="17" xfId="7" applyFont="1" applyBorder="1" applyAlignment="1">
      <alignment horizontal="center" wrapText="1"/>
    </xf>
    <xf numFmtId="171" fontId="15" fillId="0" borderId="0" xfId="7" applyNumberFormat="1"/>
    <xf numFmtId="168" fontId="16" fillId="0" borderId="18" xfId="6" applyNumberFormat="1" applyFont="1" applyBorder="1" applyAlignment="1">
      <alignment horizontal="left" vertical="top" wrapText="1"/>
    </xf>
    <xf numFmtId="170" fontId="16" fillId="0" borderId="19" xfId="7" applyNumberFormat="1" applyFont="1" applyBorder="1" applyAlignment="1">
      <alignment horizontal="right" vertical="center"/>
    </xf>
    <xf numFmtId="171" fontId="16" fillId="0" borderId="20" xfId="7" applyNumberFormat="1" applyFont="1" applyBorder="1" applyAlignment="1">
      <alignment horizontal="right" vertical="center"/>
    </xf>
    <xf numFmtId="171" fontId="16" fillId="0" borderId="21" xfId="7" applyNumberFormat="1" applyFont="1" applyBorder="1" applyAlignment="1">
      <alignment horizontal="right" vertical="center"/>
    </xf>
    <xf numFmtId="0" fontId="17" fillId="0" borderId="0" xfId="0" applyFont="1"/>
    <xf numFmtId="0" fontId="14" fillId="0" borderId="0" xfId="0" applyFont="1" applyAlignment="1">
      <alignment wrapText="1"/>
    </xf>
    <xf numFmtId="0" fontId="18" fillId="9" borderId="23" xfId="0" applyFont="1" applyFill="1" applyBorder="1" applyAlignment="1">
      <alignment wrapText="1"/>
    </xf>
    <xf numFmtId="0" fontId="18" fillId="9" borderId="23" xfId="0" applyFont="1" applyFill="1" applyBorder="1" applyAlignment="1">
      <alignment horizontal="center" wrapText="1"/>
    </xf>
    <xf numFmtId="0" fontId="19" fillId="9" borderId="0" xfId="0" applyFont="1" applyFill="1"/>
    <xf numFmtId="6" fontId="0" fillId="6" borderId="0" xfId="0" applyNumberFormat="1" applyFill="1" applyAlignment="1">
      <alignment horizontal="right"/>
    </xf>
    <xf numFmtId="0" fontId="5" fillId="8" borderId="2" xfId="0" applyFont="1" applyFill="1" applyBorder="1" applyAlignment="1">
      <alignment horizontal="center" vertical="center" wrapText="1"/>
    </xf>
    <xf numFmtId="6" fontId="5" fillId="8" borderId="2" xfId="0" applyNumberFormat="1" applyFont="1" applyFill="1" applyBorder="1" applyAlignment="1">
      <alignment horizontal="center" vertical="center" wrapText="1"/>
    </xf>
    <xf numFmtId="0" fontId="0" fillId="0" borderId="0" xfId="0" applyAlignment="1">
      <alignment horizontal="center" vertical="center"/>
    </xf>
    <xf numFmtId="0" fontId="13" fillId="0" borderId="0" xfId="0" applyFont="1"/>
    <xf numFmtId="164" fontId="20" fillId="0" borderId="0" xfId="0" applyNumberFormat="1" applyFont="1"/>
    <xf numFmtId="0" fontId="21" fillId="5" borderId="1" xfId="2" applyFont="1" applyFill="1" applyBorder="1" applyAlignment="1">
      <alignment horizontal="left"/>
    </xf>
    <xf numFmtId="168" fontId="13" fillId="0" borderId="0" xfId="6" applyNumberFormat="1" applyFont="1" applyAlignment="1"/>
    <xf numFmtId="0" fontId="22" fillId="0" borderId="0" xfId="0" applyFont="1" applyAlignment="1">
      <alignment horizontal="right" vertical="center" wrapText="1"/>
    </xf>
    <xf numFmtId="8" fontId="22" fillId="0" borderId="0" xfId="0" applyNumberFormat="1" applyFont="1" applyAlignment="1">
      <alignment horizontal="righ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64" fontId="0" fillId="0" borderId="28" xfId="0" applyNumberFormat="1" applyBorder="1"/>
    <xf numFmtId="164" fontId="5" fillId="0" borderId="2" xfId="0" applyNumberFormat="1" applyFont="1" applyBorder="1"/>
    <xf numFmtId="0" fontId="5" fillId="0" borderId="24" xfId="0" applyFont="1" applyBorder="1" applyAlignment="1">
      <alignment vertical="center"/>
    </xf>
    <xf numFmtId="0" fontId="0" fillId="0" borderId="4" xfId="0" applyBorder="1"/>
    <xf numFmtId="164" fontId="5" fillId="0" borderId="30" xfId="0" applyNumberFormat="1" applyFont="1" applyBorder="1"/>
    <xf numFmtId="38" fontId="0" fillId="0" borderId="0" xfId="0" applyNumberFormat="1" applyAlignment="1">
      <alignment horizontal="right"/>
    </xf>
    <xf numFmtId="0" fontId="5" fillId="4" borderId="0" xfId="0" applyFont="1" applyFill="1" applyAlignment="1">
      <alignment horizontal="center" vertical="center" wrapText="1"/>
    </xf>
    <xf numFmtId="172" fontId="0" fillId="0" borderId="0" xfId="0" applyNumberFormat="1"/>
    <xf numFmtId="0" fontId="10" fillId="5" borderId="0" xfId="0" applyFont="1" applyFill="1" applyAlignment="1">
      <alignment horizontal="left" vertical="center"/>
    </xf>
    <xf numFmtId="0" fontId="0" fillId="5" borderId="0" xfId="0" applyFill="1"/>
    <xf numFmtId="0" fontId="0" fillId="0" borderId="0" xfId="0" applyAlignment="1">
      <alignment horizontal="left" indent="2"/>
    </xf>
    <xf numFmtId="0" fontId="0" fillId="0" borderId="2" xfId="0" applyBorder="1" applyAlignment="1">
      <alignment horizontal="center" vertical="center"/>
    </xf>
    <xf numFmtId="164" fontId="0" fillId="0" borderId="0" xfId="0" applyNumberFormat="1" applyAlignment="1">
      <alignment horizontal="right"/>
    </xf>
    <xf numFmtId="0" fontId="10" fillId="0" borderId="0" xfId="0" applyFont="1" applyAlignment="1">
      <alignment horizontal="center"/>
    </xf>
    <xf numFmtId="168" fontId="0" fillId="0" borderId="0" xfId="6" applyNumberFormat="1" applyFont="1" applyBorder="1"/>
    <xf numFmtId="0" fontId="0" fillId="0" borderId="0" xfId="0" applyAlignment="1">
      <alignment horizontal="right"/>
    </xf>
    <xf numFmtId="0" fontId="5" fillId="0" borderId="4" xfId="0" applyFont="1" applyBorder="1" applyAlignment="1">
      <alignment horizontal="left" indent="2"/>
    </xf>
    <xf numFmtId="165" fontId="5" fillId="0" borderId="4" xfId="0" applyNumberFormat="1" applyFont="1" applyBorder="1"/>
    <xf numFmtId="164" fontId="5" fillId="4" borderId="2" xfId="0" applyNumberFormat="1" applyFont="1" applyFill="1" applyBorder="1" applyAlignment="1">
      <alignment horizontal="center" vertical="center" wrapText="1"/>
    </xf>
    <xf numFmtId="38" fontId="0" fillId="8" borderId="0" xfId="0" applyNumberFormat="1" applyFill="1"/>
    <xf numFmtId="168" fontId="0" fillId="8" borderId="0" xfId="6" applyNumberFormat="1" applyFont="1" applyFill="1" applyBorder="1"/>
    <xf numFmtId="0" fontId="28" fillId="0" borderId="0" xfId="0" applyFont="1"/>
    <xf numFmtId="0" fontId="26" fillId="4" borderId="0" xfId="0" applyFont="1" applyFill="1" applyAlignment="1">
      <alignment horizontal="center" wrapText="1"/>
    </xf>
    <xf numFmtId="0" fontId="29" fillId="0" borderId="0" xfId="0" applyFont="1"/>
    <xf numFmtId="0" fontId="26" fillId="0" borderId="0" xfId="0" applyFont="1"/>
    <xf numFmtId="0" fontId="30" fillId="10" borderId="2" xfId="0"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wrapText="1"/>
    </xf>
    <xf numFmtId="164" fontId="3" fillId="0" borderId="0" xfId="1" applyNumberFormat="1"/>
    <xf numFmtId="9" fontId="0" fillId="0" borderId="0" xfId="4" applyFont="1" applyFill="1" applyAlignment="1">
      <alignment horizontal="center" vertical="center" wrapText="1"/>
    </xf>
    <xf numFmtId="0" fontId="0" fillId="0" borderId="0" xfId="0" applyAlignment="1">
      <alignment horizontal="right" vertical="center"/>
    </xf>
    <xf numFmtId="164" fontId="5" fillId="0" borderId="0" xfId="0" applyNumberFormat="1" applyFont="1" applyAlignment="1">
      <alignment vertical="center"/>
    </xf>
    <xf numFmtId="164" fontId="0" fillId="0" borderId="0" xfId="0" applyNumberFormat="1" applyAlignment="1">
      <alignment horizontal="right" vertical="center"/>
    </xf>
    <xf numFmtId="0" fontId="5" fillId="0" borderId="4" xfId="0" applyFont="1" applyBorder="1" applyAlignment="1">
      <alignment horizontal="center" vertical="center" wrapText="1"/>
    </xf>
    <xf numFmtId="174" fontId="5" fillId="0" borderId="0" xfId="4" applyNumberFormat="1" applyFont="1"/>
    <xf numFmtId="174" fontId="0" fillId="0" borderId="0" xfId="4" applyNumberFormat="1" applyFont="1"/>
    <xf numFmtId="174" fontId="0" fillId="8" borderId="0" xfId="4" applyNumberFormat="1" applyFont="1" applyFill="1"/>
    <xf numFmtId="0" fontId="0" fillId="0" borderId="0" xfId="1" applyFont="1"/>
    <xf numFmtId="168" fontId="0" fillId="0" borderId="0" xfId="0" applyNumberFormat="1"/>
    <xf numFmtId="164" fontId="33" fillId="0" borderId="0" xfId="0" applyNumberFormat="1" applyFont="1"/>
    <xf numFmtId="164" fontId="28" fillId="0" borderId="0" xfId="0" applyNumberFormat="1" applyFont="1"/>
    <xf numFmtId="0" fontId="26" fillId="0" borderId="0" xfId="1" applyFont="1"/>
    <xf numFmtId="0" fontId="5" fillId="8" borderId="24" xfId="0" applyFont="1" applyFill="1" applyBorder="1"/>
    <xf numFmtId="164" fontId="5" fillId="8" borderId="26" xfId="0" applyNumberFormat="1" applyFont="1" applyFill="1" applyBorder="1"/>
    <xf numFmtId="0" fontId="0" fillId="0" borderId="2" xfId="0" applyBorder="1" applyAlignment="1">
      <alignment horizontal="left" indent="2"/>
    </xf>
    <xf numFmtId="164" fontId="0" fillId="0" borderId="2" xfId="0" applyNumberFormat="1" applyBorder="1" applyAlignment="1">
      <alignment horizontal="right" vertical="center"/>
    </xf>
    <xf numFmtId="164" fontId="5" fillId="0" borderId="0" xfId="0" applyNumberFormat="1" applyFont="1" applyAlignment="1">
      <alignment horizontal="right"/>
    </xf>
    <xf numFmtId="173" fontId="0" fillId="0" borderId="0" xfId="0" applyNumberFormat="1"/>
    <xf numFmtId="0" fontId="5" fillId="6" borderId="0" xfId="0" applyFont="1" applyFill="1" applyAlignment="1">
      <alignment horizontal="right"/>
    </xf>
    <xf numFmtId="0" fontId="16" fillId="11" borderId="31" xfId="7" applyFont="1" applyFill="1" applyBorder="1" applyAlignment="1">
      <alignment horizontal="center" vertical="center" wrapText="1"/>
    </xf>
    <xf numFmtId="174" fontId="0" fillId="0" borderId="0" xfId="0" applyNumberFormat="1"/>
    <xf numFmtId="175" fontId="0" fillId="0" borderId="0" xfId="4" applyNumberFormat="1" applyFont="1" applyAlignment="1">
      <alignment horizontal="left"/>
    </xf>
    <xf numFmtId="174" fontId="5" fillId="0" borderId="0" xfId="0" applyNumberFormat="1" applyFont="1"/>
    <xf numFmtId="40" fontId="0" fillId="0" borderId="0" xfId="0" applyNumberFormat="1"/>
    <xf numFmtId="0" fontId="35" fillId="0" borderId="0" xfId="0" applyFont="1" applyAlignment="1">
      <alignment vertical="center" wrapText="1"/>
    </xf>
    <xf numFmtId="164" fontId="0" fillId="6" borderId="0" xfId="0" applyNumberFormat="1" applyFill="1" applyAlignment="1">
      <alignment horizontal="right" vertical="center"/>
    </xf>
    <xf numFmtId="0" fontId="35" fillId="12" borderId="0" xfId="0" applyFont="1" applyFill="1"/>
    <xf numFmtId="164" fontId="0" fillId="0" borderId="0" xfId="0" applyNumberFormat="1" applyAlignment="1">
      <alignment vertical="center"/>
    </xf>
    <xf numFmtId="164" fontId="0" fillId="6" borderId="0" xfId="5" applyNumberFormat="1" applyFont="1" applyFill="1"/>
    <xf numFmtId="164" fontId="5" fillId="0" borderId="0" xfId="0" applyNumberFormat="1" applyFont="1" applyAlignment="1">
      <alignment horizontal="center" vertical="center"/>
    </xf>
    <xf numFmtId="164" fontId="0" fillId="0" borderId="2" xfId="0" applyNumberFormat="1" applyBorder="1" applyAlignment="1">
      <alignment vertical="center"/>
    </xf>
    <xf numFmtId="164" fontId="0" fillId="6" borderId="2" xfId="0" applyNumberFormat="1" applyFill="1" applyBorder="1" applyAlignment="1">
      <alignment horizontal="right"/>
    </xf>
    <xf numFmtId="168" fontId="0" fillId="6" borderId="0" xfId="6" applyNumberFormat="1" applyFont="1" applyFill="1"/>
    <xf numFmtId="168" fontId="5" fillId="6" borderId="0" xfId="6" applyNumberFormat="1" applyFont="1" applyFill="1"/>
    <xf numFmtId="164" fontId="5" fillId="0" borderId="0" xfId="0" applyNumberFormat="1" applyFont="1" applyAlignment="1">
      <alignment horizontal="right" vertical="center"/>
    </xf>
    <xf numFmtId="164" fontId="0" fillId="0" borderId="0" xfId="5" applyNumberFormat="1" applyFont="1" applyFill="1" applyBorder="1" applyAlignment="1">
      <alignment horizontal="center" vertical="center"/>
    </xf>
    <xf numFmtId="0" fontId="5" fillId="0" borderId="0" xfId="0" applyFont="1" applyAlignment="1">
      <alignment horizontal="right" vertical="center"/>
    </xf>
    <xf numFmtId="164" fontId="0" fillId="6" borderId="0" xfId="0" applyNumberFormat="1" applyFill="1" applyAlignment="1">
      <alignment horizontal="right"/>
    </xf>
    <xf numFmtId="43" fontId="0" fillId="0" borderId="0" xfId="0" applyNumberFormat="1"/>
    <xf numFmtId="0" fontId="0" fillId="0" borderId="4" xfId="0" applyBorder="1" applyAlignment="1">
      <alignment horizontal="left" indent="2"/>
    </xf>
    <xf numFmtId="164" fontId="5" fillId="8" borderId="26" xfId="0" applyNumberFormat="1" applyFont="1" applyFill="1" applyBorder="1" applyAlignment="1">
      <alignment horizontal="right"/>
    </xf>
    <xf numFmtId="0" fontId="5" fillId="6" borderId="25" xfId="0" applyFont="1" applyFill="1" applyBorder="1" applyAlignment="1">
      <alignment horizontal="center" vertical="center" wrapText="1"/>
    </xf>
    <xf numFmtId="0" fontId="27" fillId="0" borderId="0" xfId="0" applyFont="1"/>
    <xf numFmtId="0" fontId="38" fillId="15" borderId="23" xfId="0" applyFont="1" applyFill="1" applyBorder="1" applyAlignment="1">
      <alignment wrapText="1"/>
    </xf>
    <xf numFmtId="1" fontId="27" fillId="0" borderId="0" xfId="0" applyNumberFormat="1" applyFont="1"/>
    <xf numFmtId="168" fontId="39" fillId="0" borderId="0" xfId="6" applyNumberFormat="1" applyFont="1" applyFill="1" applyBorder="1"/>
    <xf numFmtId="9" fontId="27" fillId="0" borderId="0" xfId="4" applyFont="1" applyFill="1" applyBorder="1"/>
    <xf numFmtId="0" fontId="40" fillId="0" borderId="0" xfId="0" applyFont="1"/>
    <xf numFmtId="0" fontId="0" fillId="0" borderId="0" xfId="0" quotePrefix="1"/>
    <xf numFmtId="165" fontId="0" fillId="0" borderId="0" xfId="5" applyNumberFormat="1" applyFont="1" applyFill="1"/>
    <xf numFmtId="0" fontId="0" fillId="4" borderId="2" xfId="0" applyFill="1" applyBorder="1" applyAlignment="1">
      <alignment vertical="center" wrapText="1"/>
    </xf>
    <xf numFmtId="0" fontId="0" fillId="0" borderId="4" xfId="0" applyBorder="1" applyAlignment="1">
      <alignment horizontal="center" vertical="center"/>
    </xf>
    <xf numFmtId="0" fontId="26" fillId="0" borderId="0" xfId="0" applyFont="1" applyAlignment="1">
      <alignment horizontal="center"/>
    </xf>
    <xf numFmtId="0" fontId="14" fillId="0" borderId="0" xfId="1" applyFont="1"/>
    <xf numFmtId="174" fontId="14" fillId="0" borderId="0" xfId="0" applyNumberFormat="1" applyFont="1"/>
    <xf numFmtId="0" fontId="0" fillId="13" borderId="32" xfId="1" applyFont="1" applyFill="1" applyBorder="1"/>
    <xf numFmtId="174" fontId="0" fillId="13" borderId="33" xfId="4" applyNumberFormat="1" applyFont="1" applyFill="1" applyBorder="1"/>
    <xf numFmtId="174" fontId="0" fillId="13" borderId="34" xfId="4" applyNumberFormat="1" applyFont="1" applyFill="1" applyBorder="1"/>
    <xf numFmtId="9" fontId="5" fillId="4" borderId="2" xfId="4" applyFont="1" applyFill="1" applyBorder="1" applyAlignment="1">
      <alignment horizontal="center" vertical="center" wrapText="1"/>
    </xf>
    <xf numFmtId="168" fontId="0" fillId="0" borderId="0" xfId="6" applyNumberFormat="1" applyFont="1" applyFill="1"/>
    <xf numFmtId="0" fontId="26" fillId="4" borderId="0" xfId="0" applyFont="1" applyFill="1" applyAlignment="1">
      <alignment horizontal="center" vertical="center" wrapText="1"/>
    </xf>
    <xf numFmtId="9" fontId="26" fillId="4" borderId="0" xfId="0" applyNumberFormat="1" applyFont="1" applyFill="1" applyAlignment="1">
      <alignment horizontal="center"/>
    </xf>
    <xf numFmtId="9" fontId="0" fillId="0" borderId="0" xfId="4" applyFont="1" applyFill="1" applyBorder="1" applyAlignment="1">
      <alignment horizontal="center" vertical="center" wrapText="1"/>
    </xf>
    <xf numFmtId="0" fontId="5" fillId="0" borderId="2" xfId="0" applyFont="1" applyBorder="1" applyAlignment="1">
      <alignment horizontal="center" wrapText="1"/>
    </xf>
    <xf numFmtId="38" fontId="39" fillId="0" borderId="0" xfId="0" applyNumberFormat="1" applyFont="1"/>
    <xf numFmtId="168" fontId="41" fillId="0" borderId="0" xfId="0" applyNumberFormat="1" applyFont="1" applyAlignment="1">
      <alignment horizontal="center"/>
    </xf>
    <xf numFmtId="38" fontId="2" fillId="0" borderId="0" xfId="0" applyNumberFormat="1" applyFont="1"/>
    <xf numFmtId="0" fontId="3" fillId="0" borderId="27" xfId="1" applyBorder="1"/>
    <xf numFmtId="165" fontId="27" fillId="0" borderId="0" xfId="0" applyNumberFormat="1" applyFont="1"/>
    <xf numFmtId="0" fontId="0" fillId="0" borderId="2" xfId="0" applyBorder="1" applyAlignment="1">
      <alignment horizontal="center" wrapText="1"/>
    </xf>
    <xf numFmtId="0" fontId="0" fillId="0" borderId="36" xfId="0" applyBorder="1" applyAlignment="1">
      <alignment horizontal="center" wrapText="1"/>
    </xf>
    <xf numFmtId="0" fontId="7" fillId="0" borderId="0" xfId="0" applyFont="1" applyAlignment="1">
      <alignment vertical="center"/>
    </xf>
    <xf numFmtId="0" fontId="0" fillId="0" borderId="27" xfId="0" applyBorder="1"/>
    <xf numFmtId="0" fontId="0" fillId="0" borderId="28" xfId="0" applyBorder="1"/>
    <xf numFmtId="0" fontId="10" fillId="0" borderId="27" xfId="0" applyFont="1" applyBorder="1"/>
    <xf numFmtId="0" fontId="0" fillId="0" borderId="35" xfId="0" applyBorder="1" applyAlignment="1">
      <alignment horizontal="center" wrapText="1"/>
    </xf>
    <xf numFmtId="164" fontId="0" fillId="0" borderId="0" xfId="5" applyNumberFormat="1" applyFont="1" applyFill="1" applyBorder="1"/>
    <xf numFmtId="168" fontId="0" fillId="0" borderId="0" xfId="6" applyNumberFormat="1" applyFont="1" applyFill="1" applyBorder="1"/>
    <xf numFmtId="164" fontId="0" fillId="0" borderId="18" xfId="5" applyNumberFormat="1" applyFont="1" applyFill="1" applyBorder="1"/>
    <xf numFmtId="164" fontId="0" fillId="0" borderId="2" xfId="5" applyNumberFormat="1" applyFont="1" applyFill="1" applyBorder="1"/>
    <xf numFmtId="168" fontId="0" fillId="0" borderId="2" xfId="6" applyNumberFormat="1" applyFont="1" applyFill="1" applyBorder="1"/>
    <xf numFmtId="164" fontId="0" fillId="0" borderId="22" xfId="5" applyNumberFormat="1" applyFont="1" applyFill="1" applyBorder="1"/>
    <xf numFmtId="0" fontId="0" fillId="0" borderId="27" xfId="0" applyBorder="1" applyAlignment="1">
      <alignment wrapText="1"/>
    </xf>
    <xf numFmtId="0" fontId="0" fillId="0" borderId="28" xfId="0" applyBorder="1" applyAlignment="1">
      <alignment wrapText="1"/>
    </xf>
    <xf numFmtId="0" fontId="5" fillId="0" borderId="27" xfId="0" applyFont="1" applyBorder="1"/>
    <xf numFmtId="168" fontId="5" fillId="0" borderId="0" xfId="6" applyNumberFormat="1" applyFont="1" applyFill="1"/>
    <xf numFmtId="173" fontId="5" fillId="0" borderId="0" xfId="0" applyNumberFormat="1" applyFont="1"/>
    <xf numFmtId="0" fontId="5" fillId="0" borderId="24" xfId="0" applyFont="1" applyBorder="1" applyAlignment="1">
      <alignment horizontal="right"/>
    </xf>
    <xf numFmtId="166" fontId="5" fillId="0" borderId="26" xfId="0" applyNumberFormat="1" applyFont="1" applyBorder="1"/>
    <xf numFmtId="164" fontId="30" fillId="0" borderId="0" xfId="0" applyNumberFormat="1" applyFont="1"/>
    <xf numFmtId="6" fontId="0" fillId="0" borderId="2" xfId="0" applyNumberFormat="1" applyBorder="1"/>
    <xf numFmtId="173" fontId="0" fillId="6" borderId="0" xfId="0" applyNumberFormat="1" applyFill="1" applyAlignment="1">
      <alignment horizontal="right"/>
    </xf>
    <xf numFmtId="0" fontId="0" fillId="8" borderId="0" xfId="0" applyFill="1" applyAlignment="1">
      <alignment horizontal="center"/>
    </xf>
    <xf numFmtId="176" fontId="0" fillId="0" borderId="0" xfId="0" applyNumberFormat="1"/>
    <xf numFmtId="0" fontId="25" fillId="14" borderId="25" xfId="0" applyFont="1" applyFill="1" applyBorder="1" applyAlignment="1">
      <alignment horizontal="center" vertical="center" wrapText="1"/>
    </xf>
    <xf numFmtId="0" fontId="5" fillId="0" borderId="25" xfId="0" applyFont="1" applyBorder="1" applyAlignment="1">
      <alignment horizontal="center" wrapText="1"/>
    </xf>
    <xf numFmtId="164" fontId="23" fillId="0" borderId="0" xfId="0" applyNumberFormat="1" applyFont="1" applyAlignment="1">
      <alignment horizontal="center" vertical="center"/>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xf>
    <xf numFmtId="0" fontId="5" fillId="8" borderId="27"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wrapText="1"/>
    </xf>
    <xf numFmtId="164" fontId="0" fillId="8" borderId="28" xfId="0" applyNumberFormat="1" applyFill="1" applyBorder="1" applyAlignment="1">
      <alignment horizontal="center" vertical="center"/>
    </xf>
    <xf numFmtId="166" fontId="27" fillId="0" borderId="30" xfId="0" applyNumberFormat="1" applyFont="1" applyBorder="1" applyAlignment="1">
      <alignment horizontal="center" vertical="center"/>
    </xf>
    <xf numFmtId="164" fontId="0" fillId="0" borderId="28" xfId="5" applyNumberFormat="1" applyFont="1" applyFill="1" applyBorder="1" applyAlignment="1">
      <alignment horizontal="center" vertical="center"/>
    </xf>
    <xf numFmtId="164" fontId="0" fillId="0" borderId="28" xfId="0" applyNumberFormat="1" applyBorder="1" applyAlignment="1">
      <alignment horizontal="center" vertical="center"/>
    </xf>
    <xf numFmtId="164" fontId="0" fillId="0" borderId="0" xfId="5" applyNumberFormat="1" applyFont="1" applyFill="1"/>
    <xf numFmtId="174" fontId="5" fillId="0" borderId="0" xfId="4" applyNumberFormat="1" applyFont="1" applyBorder="1"/>
    <xf numFmtId="3" fontId="30" fillId="0" borderId="0" xfId="0" applyNumberFormat="1" applyFont="1"/>
    <xf numFmtId="174" fontId="0" fillId="0" borderId="28" xfId="4" applyNumberFormat="1" applyFont="1" applyFill="1" applyBorder="1"/>
    <xf numFmtId="0" fontId="35" fillId="0" borderId="0" xfId="0" applyFont="1"/>
    <xf numFmtId="164" fontId="35" fillId="0" borderId="0" xfId="0" applyNumberFormat="1" applyFont="1"/>
    <xf numFmtId="9" fontId="1" fillId="4" borderId="0" xfId="0" applyNumberFormat="1" applyFont="1" applyFill="1" applyAlignment="1">
      <alignment horizontal="center"/>
    </xf>
    <xf numFmtId="0" fontId="36" fillId="0" borderId="0" xfId="1" applyFont="1"/>
    <xf numFmtId="168" fontId="36" fillId="0" borderId="0" xfId="6" applyNumberFormat="1" applyFont="1" applyBorder="1" applyAlignment="1">
      <alignment horizontal="center" vertical="center"/>
    </xf>
    <xf numFmtId="0" fontId="36" fillId="0" borderId="0" xfId="1" applyFont="1" applyAlignment="1">
      <alignment horizontal="right"/>
    </xf>
    <xf numFmtId="164" fontId="35" fillId="0" borderId="0" xfId="4" applyNumberFormat="1" applyFont="1"/>
    <xf numFmtId="9" fontId="35" fillId="0" borderId="0" xfId="4" applyFont="1"/>
    <xf numFmtId="0" fontId="36" fillId="0" borderId="0" xfId="1" applyFont="1" applyAlignment="1">
      <alignment horizontal="left"/>
    </xf>
    <xf numFmtId="0" fontId="3" fillId="0" borderId="29" xfId="1" applyBorder="1"/>
    <xf numFmtId="174" fontId="0" fillId="0" borderId="30" xfId="4" applyNumberFormat="1" applyFont="1" applyFill="1" applyBorder="1"/>
    <xf numFmtId="38" fontId="0" fillId="0" borderId="2" xfId="0" applyNumberFormat="1" applyBorder="1"/>
    <xf numFmtId="164" fontId="0" fillId="0" borderId="30" xfId="0" applyNumberFormat="1" applyBorder="1"/>
    <xf numFmtId="164" fontId="14" fillId="14" borderId="0" xfId="0" applyNumberFormat="1" applyFont="1" applyFill="1" applyAlignment="1">
      <alignment horizontal="center"/>
    </xf>
    <xf numFmtId="164" fontId="14" fillId="14" borderId="2" xfId="0" applyNumberFormat="1" applyFont="1" applyFill="1" applyBorder="1" applyAlignment="1">
      <alignment horizontal="center"/>
    </xf>
    <xf numFmtId="164" fontId="39" fillId="0" borderId="0" xfId="0" applyNumberFormat="1" applyFont="1"/>
    <xf numFmtId="0" fontId="0" fillId="0" borderId="1" xfId="0" applyBorder="1"/>
    <xf numFmtId="0" fontId="0" fillId="0" borderId="42" xfId="0" applyBorder="1"/>
    <xf numFmtId="0" fontId="0" fillId="0" borderId="43" xfId="0" applyBorder="1"/>
    <xf numFmtId="0" fontId="0" fillId="0" borderId="44" xfId="0" applyBorder="1"/>
    <xf numFmtId="0" fontId="0" fillId="0" borderId="3" xfId="0" applyBorder="1"/>
    <xf numFmtId="0" fontId="0" fillId="0" borderId="45" xfId="0" applyBorder="1"/>
    <xf numFmtId="0" fontId="0" fillId="0" borderId="46" xfId="0" applyBorder="1"/>
    <xf numFmtId="164" fontId="0" fillId="0" borderId="18" xfId="0" applyNumberFormat="1" applyBorder="1"/>
    <xf numFmtId="0" fontId="0" fillId="0" borderId="29" xfId="0" applyBorder="1"/>
    <xf numFmtId="164" fontId="0" fillId="0" borderId="22" xfId="0" applyNumberFormat="1" applyBorder="1"/>
    <xf numFmtId="173" fontId="0" fillId="0" borderId="2" xfId="0" applyNumberFormat="1" applyBorder="1"/>
    <xf numFmtId="0" fontId="13" fillId="13" borderId="0" xfId="0" applyFont="1" applyFill="1" applyAlignment="1">
      <alignment horizontal="center"/>
    </xf>
    <xf numFmtId="0" fontId="0" fillId="8" borderId="0" xfId="0" applyFill="1" applyAlignment="1">
      <alignment horizontal="center" vertical="center" wrapText="1"/>
    </xf>
    <xf numFmtId="164" fontId="23" fillId="0" borderId="0" xfId="0" applyNumberFormat="1" applyFont="1" applyAlignment="1">
      <alignment horizontal="center" vertical="center"/>
    </xf>
    <xf numFmtId="164" fontId="23" fillId="0" borderId="2" xfId="0" applyNumberFormat="1" applyFont="1" applyBorder="1" applyAlignment="1">
      <alignment horizontal="center" vertical="center"/>
    </xf>
    <xf numFmtId="0" fontId="0" fillId="0" borderId="0" xfId="0" applyAlignment="1">
      <alignment horizontal="center"/>
    </xf>
    <xf numFmtId="164" fontId="37" fillId="0" borderId="0" xfId="0" applyNumberFormat="1" applyFont="1" applyAlignment="1">
      <alignment horizontal="center" vertical="center"/>
    </xf>
    <xf numFmtId="164" fontId="37" fillId="0" borderId="2" xfId="0" applyNumberFormat="1" applyFont="1" applyBorder="1" applyAlignment="1">
      <alignment horizontal="center" vertical="center"/>
    </xf>
    <xf numFmtId="0" fontId="5" fillId="4" borderId="0" xfId="0" applyFont="1" applyFill="1" applyAlignment="1">
      <alignment horizontal="center" vertical="center" wrapText="1"/>
    </xf>
    <xf numFmtId="0" fontId="5" fillId="4" borderId="2" xfId="0" applyFont="1" applyFill="1" applyBorder="1" applyAlignment="1">
      <alignment horizontal="center" vertical="center" wrapText="1"/>
    </xf>
    <xf numFmtId="0" fontId="0" fillId="8" borderId="0" xfId="0" applyFill="1" applyAlignment="1">
      <alignment horizontal="center" wrapText="1"/>
    </xf>
    <xf numFmtId="0" fontId="5" fillId="0" borderId="0" xfId="0" applyFont="1" applyAlignment="1">
      <alignment horizontal="center"/>
    </xf>
    <xf numFmtId="0" fontId="26" fillId="0" borderId="0" xfId="0" applyFont="1" applyAlignment="1">
      <alignment horizontal="center"/>
    </xf>
    <xf numFmtId="0" fontId="26" fillId="4" borderId="0" xfId="0" applyFont="1" applyFill="1" applyAlignment="1">
      <alignment horizontal="center" wrapText="1"/>
    </xf>
    <xf numFmtId="9" fontId="0" fillId="8" borderId="0" xfId="4"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right" vertical="center"/>
    </xf>
    <xf numFmtId="164" fontId="0" fillId="6" borderId="0" xfId="0" applyNumberFormat="1" applyFill="1" applyAlignment="1">
      <alignment horizontal="right" vertical="center"/>
    </xf>
    <xf numFmtId="0" fontId="0" fillId="0" borderId="2" xfId="0" applyBorder="1" applyAlignment="1">
      <alignment horizontal="center" vertical="center"/>
    </xf>
    <xf numFmtId="0" fontId="0" fillId="0" borderId="0" xfId="0" quotePrefix="1" applyAlignment="1">
      <alignment horizontal="left" vertical="center" wrapText="1"/>
    </xf>
    <xf numFmtId="0" fontId="27" fillId="0" borderId="0" xfId="0" applyFont="1" applyAlignment="1">
      <alignment horizontal="center" vertical="center" wrapText="1"/>
    </xf>
    <xf numFmtId="164" fontId="35" fillId="8" borderId="41" xfId="5" applyNumberFormat="1" applyFont="1" applyFill="1" applyBorder="1" applyAlignment="1">
      <alignment horizontal="center" vertical="center"/>
    </xf>
    <xf numFmtId="164" fontId="35" fillId="8" borderId="28" xfId="5" applyNumberFormat="1" applyFont="1" applyFill="1" applyBorder="1" applyAlignment="1">
      <alignment horizontal="center" vertical="center"/>
    </xf>
    <xf numFmtId="0" fontId="27" fillId="0" borderId="0" xfId="0" applyFont="1" applyAlignment="1">
      <alignment horizontal="left" vertical="center" wrapText="1"/>
    </xf>
    <xf numFmtId="0" fontId="27" fillId="0" borderId="2" xfId="0" applyFont="1" applyBorder="1" applyAlignment="1">
      <alignment horizontal="left" vertical="center" wrapText="1"/>
    </xf>
    <xf numFmtId="0" fontId="30" fillId="0" borderId="27" xfId="0" applyFont="1" applyBorder="1" applyAlignment="1">
      <alignment horizontal="center" vertical="center"/>
    </xf>
    <xf numFmtId="0" fontId="30" fillId="0" borderId="29"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166" fontId="27" fillId="0" borderId="28" xfId="0" applyNumberFormat="1" applyFont="1" applyBorder="1" applyAlignment="1">
      <alignment horizontal="center" vertical="center"/>
    </xf>
    <xf numFmtId="166" fontId="27" fillId="0" borderId="30" xfId="0" applyNumberFormat="1" applyFont="1" applyBorder="1" applyAlignment="1">
      <alignment horizontal="center" vertical="center"/>
    </xf>
    <xf numFmtId="0" fontId="0" fillId="8" borderId="0" xfId="0" applyFill="1" applyAlignment="1">
      <alignment horizontal="left" vertical="center" wrapText="1"/>
    </xf>
    <xf numFmtId="0" fontId="5" fillId="0" borderId="27" xfId="0" applyFont="1" applyBorder="1" applyAlignment="1">
      <alignment horizontal="center" vertical="center"/>
    </xf>
    <xf numFmtId="0" fontId="0" fillId="0" borderId="0" xfId="0" applyAlignment="1">
      <alignment horizontal="left" vertical="center" wrapText="1"/>
    </xf>
    <xf numFmtId="0" fontId="5" fillId="4" borderId="0" xfId="0" applyFont="1" applyFill="1" applyAlignment="1">
      <alignment horizontal="center" vertical="center"/>
    </xf>
    <xf numFmtId="0" fontId="5" fillId="8" borderId="40"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0" fillId="8" borderId="4" xfId="0" applyFill="1" applyBorder="1" applyAlignment="1">
      <alignment horizontal="left" vertical="center" wrapText="1"/>
    </xf>
    <xf numFmtId="0" fontId="0" fillId="0" borderId="0" xfId="0" quotePrefix="1" applyAlignment="1">
      <alignment horizontal="left" wrapText="1"/>
    </xf>
    <xf numFmtId="0" fontId="13" fillId="0" borderId="0" xfId="0" applyFont="1" applyAlignment="1">
      <alignment horizontal="center"/>
    </xf>
    <xf numFmtId="0" fontId="0" fillId="6" borderId="0" xfId="0" applyFill="1" applyAlignment="1">
      <alignment horizontal="right" vertical="center"/>
    </xf>
    <xf numFmtId="0" fontId="4" fillId="7" borderId="0" xfId="0" applyFont="1" applyFill="1" applyAlignment="1">
      <alignment horizontal="center"/>
    </xf>
    <xf numFmtId="0" fontId="0" fillId="0" borderId="2" xfId="0" applyBorder="1" applyAlignment="1">
      <alignment horizontal="center"/>
    </xf>
    <xf numFmtId="0" fontId="16" fillId="0" borderId="7" xfId="7" applyFont="1" applyBorder="1" applyAlignment="1">
      <alignment horizontal="center" wrapText="1"/>
    </xf>
    <xf numFmtId="0" fontId="16" fillId="0" borderId="8" xfId="7" applyFont="1" applyBorder="1" applyAlignment="1">
      <alignment horizontal="center" wrapText="1"/>
    </xf>
    <xf numFmtId="0" fontId="16" fillId="0" borderId="9" xfId="7" applyFont="1" applyBorder="1" applyAlignment="1">
      <alignment horizontal="center" wrapText="1"/>
    </xf>
    <xf numFmtId="0" fontId="16" fillId="0" borderId="11" xfId="7" applyFont="1" applyBorder="1" applyAlignment="1">
      <alignment horizontal="center" wrapText="1"/>
    </xf>
    <xf numFmtId="0" fontId="16" fillId="0" borderId="12" xfId="7" applyFont="1" applyBorder="1" applyAlignment="1">
      <alignment horizontal="center" wrapText="1"/>
    </xf>
    <xf numFmtId="0" fontId="16" fillId="0" borderId="13" xfId="7" applyFont="1" applyBorder="1" applyAlignment="1">
      <alignment horizontal="center" wrapText="1"/>
    </xf>
    <xf numFmtId="0" fontId="0" fillId="0" borderId="4" xfId="0"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5" fillId="0" borderId="3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cellXfs>
  <cellStyles count="8">
    <cellStyle name="Comma" xfId="6" builtinId="3"/>
    <cellStyle name="Comma 2" xfId="3" xr:uid="{AF63A642-F713-4423-9934-15FE53CB45CF}"/>
    <cellStyle name="Currency" xfId="5" builtinId="4"/>
    <cellStyle name="Normal" xfId="0" builtinId="0"/>
    <cellStyle name="Normal 2" xfId="2" xr:uid="{9748FF3B-8D00-4C8B-86DA-28A504D3AC8A}"/>
    <cellStyle name="Normal 3" xfId="1" xr:uid="{C84E3B76-4A9A-4F57-850D-3DE5F09380A8}"/>
    <cellStyle name="Normal_Sheet1" xfId="7" xr:uid="{6D5DB225-16B7-E549-A9C9-516C893FF188}"/>
    <cellStyle name="Percent" xfId="4" builtinId="5"/>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Will Carroll" id="{46027FD9-4E19-C842-8ACE-7495C7ABD2B7}" userId="71d3a039e8db94d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069.722059722226" createdVersion="8" refreshedVersion="8" minRefreshableVersion="3" recordCount="1201" xr:uid="{F7162A46-1C2A-7245-80EB-CBBE10C0B898}">
  <cacheSource type="worksheet">
    <worksheetSource ref="A1:F1048576" sheet="Rev &amp; Exp Sort"/>
  </cacheSource>
  <cacheFields count="6">
    <cacheField name="Original Sort" numFmtId="0">
      <sharedItems containsString="0" containsBlank="1" containsNumber="1" containsInteger="1" minValue="1" maxValue="1200"/>
    </cacheField>
    <cacheField name="University" numFmtId="0">
      <sharedItems containsBlank="1" count="16">
        <s v="Chicago State University"/>
        <s v="Eastern Illinois University"/>
        <s v="Governors State University"/>
        <s v="Illinois State University"/>
        <s v="Northeastern Illinois University"/>
        <s v="Northern Illinois University"/>
        <s v="Southern Illinois University Carbondale"/>
        <s v="Southern Illinois University Edwardsville"/>
        <s v="Southern Illinois University School of Medicine"/>
        <s v="Southern Illinois University System Office"/>
        <s v="University of Illinois at Chicago"/>
        <s v="University of Illinois at Springfield"/>
        <s v="University of Illinois at Urbana / Champaign"/>
        <s v="University of Illinois System Office"/>
        <s v="Western Illinois University"/>
        <m/>
      </sharedItems>
    </cacheField>
    <cacheField name="NACUBO Expense" numFmtId="0">
      <sharedItems containsBlank="1" count="71">
        <s v="General Academic Instruction (Degree-Related)"/>
        <s v="Vocational/Technical Instruction (Degree-Related)"/>
        <s v="Requisite/Preparatory/Remedial Instruction (Non-Degree)"/>
        <s v="Departmental Research"/>
        <s v="Admissions, Registration, and Records"/>
        <s v="Audio-Visual Services"/>
        <s v="Instructional Computing Support"/>
        <s v="Departmental Administration and Personnel Development"/>
        <s v="Course and Curriculum Development"/>
        <s v="Total Instructional Programs"/>
        <s v="Percent of Total"/>
        <s v="Institutes and Research Centers"/>
        <s v="Individual or Project Research"/>
        <s v="Laboratory Schools"/>
        <s v="Support for Organized Research"/>
        <s v="Total Organized Research"/>
        <s v="Direct Patient Care"/>
        <s v="Community Education"/>
        <s v="Public Broadcast Services"/>
        <s v="Community Services"/>
        <s v="Cooperative Extension Services"/>
        <s v="Support for Public Service Programs"/>
        <s v="Total Public Service"/>
        <s v="Academic Administration"/>
        <s v="Library Services"/>
        <s v="Museums and Galleries"/>
        <s v="Hospital and Patient Services"/>
        <s v="Academic Support Not Elsewhere Classified"/>
        <s v="Total Academic Support"/>
        <s v="Social and Cultural Development"/>
        <s v="Student Health/Medical Services"/>
        <s v="Counseling and Career Services"/>
        <s v="Financial Aid Administration"/>
        <s v="Financial Assistance"/>
        <s v="Intercollegiate Athletics"/>
        <s v="Student Services Administration"/>
        <s v="Total Student Services"/>
        <s v="Executive Management"/>
        <s v="Financial Management and Operations"/>
        <s v="General Administrative and Logistical Services"/>
        <s v="Faculty and Staff Auxiliary Services"/>
        <s v="Public Relations/Development"/>
        <s v="Total Institutional Support"/>
        <s v="Superintendence"/>
        <s v="Custodial"/>
        <s v="Repairs/Maintenance"/>
        <s v="Grounds Maintenance"/>
        <s v="University Space"/>
        <s v="Rental Space"/>
        <s v="Utility Support"/>
        <s v="Permanent Improvements"/>
        <s v="Security"/>
        <s v="Fire Protection"/>
        <s v="Transportation"/>
        <s v="Rental of Space"/>
        <s v="Other Operations &amp; Maintenance"/>
        <s v="Total Physical Plant"/>
        <s v="Housing Services"/>
        <s v="Food Services"/>
        <s v="Retail Services and Concessions"/>
        <s v="Student Unions and Centers"/>
        <s v="Specialized Services"/>
        <s v="Other Independent Operations"/>
        <s v="Total Independent Operations"/>
        <s v="Refunds"/>
        <s v="Unexpended Lapsed Funds"/>
        <s v="Total Refunds / Lapsed Funds"/>
        <s v="CMS GROUP HEALTH INSURANCE"/>
        <s v="MEDICARE"/>
        <s v="Grand Totals"/>
        <m/>
      </sharedItems>
    </cacheField>
    <cacheField name="FY2022 State" numFmtId="40">
      <sharedItems containsString="0" containsBlank="1" containsNumber="1" minValue="-14.3" maxValue="1114442.0000000002"/>
    </cacheField>
    <cacheField name="FY2022 Other" numFmtId="40">
      <sharedItems containsString="0" containsBlank="1" containsNumber="1" minValue="-592.4" maxValue="2196255.6"/>
    </cacheField>
    <cacheField name="FY2022 Total" numFmtId="40">
      <sharedItems containsString="0" containsBlank="1" containsNumber="1" minValue="-323.5" maxValue="2889344.38000000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1">
  <r>
    <n v="1"/>
    <x v="0"/>
    <x v="0"/>
    <n v="19255"/>
    <n v="1977.6999999999996"/>
    <n v="21232.7"/>
  </r>
  <r>
    <n v="2"/>
    <x v="0"/>
    <x v="1"/>
    <n v="0"/>
    <n v="29.000000000000004"/>
    <n v="29.000000000000004"/>
  </r>
  <r>
    <n v="3"/>
    <x v="0"/>
    <x v="2"/>
    <n v="313.8"/>
    <n v="41.3"/>
    <n v="355.1"/>
  </r>
  <r>
    <n v="4"/>
    <x v="0"/>
    <x v="3"/>
    <n v="116.5"/>
    <n v="7.8"/>
    <n v="124.3"/>
  </r>
  <r>
    <n v="5"/>
    <x v="0"/>
    <x v="4"/>
    <n v="1579.8999999999996"/>
    <n v="67"/>
    <n v="1646.8999999999996"/>
  </r>
  <r>
    <n v="6"/>
    <x v="0"/>
    <x v="5"/>
    <n v="0"/>
    <n v="0"/>
    <n v="0"/>
  </r>
  <r>
    <n v="7"/>
    <x v="0"/>
    <x v="6"/>
    <n v="171.50000000000068"/>
    <n v="57.600000000000044"/>
    <n v="229.10000000000073"/>
  </r>
  <r>
    <n v="8"/>
    <x v="0"/>
    <x v="7"/>
    <n v="2718.1"/>
    <n v="36.400000000000006"/>
    <n v="2754.5"/>
  </r>
  <r>
    <n v="9"/>
    <x v="0"/>
    <x v="8"/>
    <n v="52.900000000000006"/>
    <n v="1.5"/>
    <n v="54.400000000000006"/>
  </r>
  <r>
    <n v="10"/>
    <x v="0"/>
    <x v="9"/>
    <n v="24207.699999999997"/>
    <n v="2218.2999999999997"/>
    <n v="26425.999999999996"/>
  </r>
  <r>
    <n v="11"/>
    <x v="0"/>
    <x v="10"/>
    <n v="0.39856857315029148"/>
    <n v="8.4474807596373158E-2"/>
    <n v="0.30375934664038207"/>
  </r>
  <r>
    <n v="12"/>
    <x v="0"/>
    <x v="11"/>
    <n v="0"/>
    <n v="8.1999999999999993"/>
    <n v="8.1999999999999993"/>
  </r>
  <r>
    <n v="13"/>
    <x v="0"/>
    <x v="12"/>
    <n v="-14.3"/>
    <n v="350.09999999999997"/>
    <n v="335.79999999999995"/>
  </r>
  <r>
    <n v="14"/>
    <x v="0"/>
    <x v="13"/>
    <n v="0"/>
    <n v="0"/>
    <n v="0"/>
  </r>
  <r>
    <n v="15"/>
    <x v="0"/>
    <x v="14"/>
    <n v="290.3"/>
    <n v="348.3"/>
    <n v="638.6"/>
  </r>
  <r>
    <n v="16"/>
    <x v="0"/>
    <x v="15"/>
    <n v="276"/>
    <n v="706.59999999999991"/>
    <n v="982.59999999999991"/>
  </r>
  <r>
    <n v="17"/>
    <x v="0"/>
    <x v="10"/>
    <n v="4.5442122212965485E-3"/>
    <n v="2.6907947098046826E-2"/>
    <n v="1.1294707258337979E-2"/>
  </r>
  <r>
    <n v="18"/>
    <x v="0"/>
    <x v="16"/>
    <n v="0"/>
    <n v="0"/>
    <n v="0"/>
  </r>
  <r>
    <n v="19"/>
    <x v="0"/>
    <x v="17"/>
    <n v="71.600000000000009"/>
    <n v="1671.400000000001"/>
    <n v="1743.0000000000009"/>
  </r>
  <r>
    <n v="20"/>
    <x v="0"/>
    <x v="18"/>
    <n v="0"/>
    <n v="0"/>
    <n v="0"/>
  </r>
  <r>
    <n v="21"/>
    <x v="0"/>
    <x v="19"/>
    <n v="11.5"/>
    <n v="316.40000000000009"/>
    <n v="327.90000000000009"/>
  </r>
  <r>
    <n v="22"/>
    <x v="0"/>
    <x v="20"/>
    <n v="0"/>
    <n v="0"/>
    <n v="0"/>
  </r>
  <r>
    <n v="23"/>
    <x v="0"/>
    <x v="21"/>
    <n v="0"/>
    <n v="0"/>
    <n v="0"/>
  </r>
  <r>
    <n v="24"/>
    <x v="0"/>
    <x v="22"/>
    <n v="83.100000000000009"/>
    <n v="1987.8000000000011"/>
    <n v="2070.900000000001"/>
  </r>
  <r>
    <n v="25"/>
    <x v="0"/>
    <x v="10"/>
    <n v="1.3682030274990698E-3"/>
    <n v="7.5697165640387087E-2"/>
    <n v="2.3804405924376281E-2"/>
  </r>
  <r>
    <n v="26"/>
    <x v="0"/>
    <x v="23"/>
    <n v="2790.1000000000013"/>
    <n v="50.6"/>
    <n v="2840.7000000000012"/>
  </r>
  <r>
    <n v="27"/>
    <x v="0"/>
    <x v="24"/>
    <n v="1872"/>
    <n v="154.99999999999997"/>
    <n v="2027"/>
  </r>
  <r>
    <n v="28"/>
    <x v="0"/>
    <x v="25"/>
    <n v="0"/>
    <n v="0"/>
    <n v="0"/>
  </r>
  <r>
    <n v="29"/>
    <x v="0"/>
    <x v="26"/>
    <n v="0"/>
    <n v="0"/>
    <n v="0"/>
  </r>
  <r>
    <n v="30"/>
    <x v="0"/>
    <x v="27"/>
    <n v="0"/>
    <n v="79"/>
    <n v="79"/>
  </r>
  <r>
    <n v="31"/>
    <x v="0"/>
    <x v="28"/>
    <n v="4662.1000000000013"/>
    <n v="284.59999999999997"/>
    <n v="4946.7000000000016"/>
  </r>
  <r>
    <n v="32"/>
    <x v="0"/>
    <x v="10"/>
    <n v="7.6759318104734228E-2"/>
    <n v="1.0837817356501736E-2"/>
    <n v="5.6860908197456241E-2"/>
  </r>
  <r>
    <n v="33"/>
    <x v="0"/>
    <x v="29"/>
    <n v="146.4"/>
    <n v="314.8"/>
    <n v="461.20000000000005"/>
  </r>
  <r>
    <n v="34"/>
    <x v="0"/>
    <x v="30"/>
    <n v="-4.5"/>
    <n v="369.9"/>
    <n v="365.4"/>
  </r>
  <r>
    <n v="35"/>
    <x v="0"/>
    <x v="31"/>
    <n v="245.80000000000004"/>
    <n v="4.5"/>
    <n v="250.30000000000004"/>
  </r>
  <r>
    <n v="36"/>
    <x v="0"/>
    <x v="32"/>
    <n v="560.20000000000005"/>
    <n v="20.299999999999997"/>
    <n v="580.5"/>
  </r>
  <r>
    <n v="37"/>
    <x v="0"/>
    <x v="33"/>
    <n v="1214.9000000000001"/>
    <n v="8882.2999999999993"/>
    <n v="10097.199999999999"/>
  </r>
  <r>
    <n v="38"/>
    <x v="0"/>
    <x v="34"/>
    <n v="3370.0999999999981"/>
    <n v="4043"/>
    <n v="7413.0999999999985"/>
  </r>
  <r>
    <n v="39"/>
    <x v="0"/>
    <x v="35"/>
    <n v="570.9"/>
    <n v="2171.8000000000006"/>
    <n v="2742.7000000000007"/>
  </r>
  <r>
    <n v="40"/>
    <x v="0"/>
    <x v="36"/>
    <n v="6103.7999999999975"/>
    <n v="15806.6"/>
    <n v="21910.399999999998"/>
  </r>
  <r>
    <n v="41"/>
    <x v="0"/>
    <x v="10"/>
    <n v="0.10049624114619515"/>
    <n v="0.60192917718650873"/>
    <n v="0.25185381021075559"/>
  </r>
  <r>
    <n v="42"/>
    <x v="0"/>
    <x v="37"/>
    <n v="4812.7000000000025"/>
    <n v="56.099999999999987"/>
    <n v="4868.8000000000029"/>
  </r>
  <r>
    <n v="43"/>
    <x v="0"/>
    <x v="38"/>
    <n v="1780.1"/>
    <n v="159.5"/>
    <n v="1939.6"/>
  </r>
  <r>
    <n v="44"/>
    <x v="0"/>
    <x v="39"/>
    <n v="2879.7000000000007"/>
    <n v="77.700000000000017"/>
    <n v="2957.4000000000005"/>
  </r>
  <r>
    <n v="45"/>
    <x v="0"/>
    <x v="40"/>
    <n v="0"/>
    <n v="0"/>
    <n v="0"/>
  </r>
  <r>
    <n v="46"/>
    <x v="0"/>
    <x v="41"/>
    <n v="1681.0999999999997"/>
    <n v="20.9"/>
    <n v="1701.9999999999998"/>
  </r>
  <r>
    <n v="47"/>
    <x v="0"/>
    <x v="42"/>
    <n v="11153.600000000004"/>
    <n v="314.2"/>
    <n v="11467.800000000005"/>
  </r>
  <r>
    <n v="48"/>
    <x v="0"/>
    <x v="10"/>
    <n v="0.18363886025888843"/>
    <n v="1.1965011290979781E-2"/>
    <n v="0.13181909617053564"/>
  </r>
  <r>
    <n v="49"/>
    <x v="0"/>
    <x v="43"/>
    <n v="386.9"/>
    <n v="2.7"/>
    <n v="389.59999999999997"/>
  </r>
  <r>
    <n v="50"/>
    <x v="0"/>
    <x v="44"/>
    <n v="1058.7999999999997"/>
    <n v="264.2000000000001"/>
    <n v="1322.9999999999998"/>
  </r>
  <r>
    <n v="51"/>
    <x v="0"/>
    <x v="45"/>
    <n v="1168.8000000000004"/>
    <n v="375.79999999999995"/>
    <n v="1544.6000000000004"/>
  </r>
  <r>
    <n v="52"/>
    <x v="0"/>
    <x v="46"/>
    <n v="509.90000000000026"/>
    <n v="256.09999999999997"/>
    <n v="766.00000000000023"/>
  </r>
  <r>
    <n v="53"/>
    <x v="0"/>
    <x v="47"/>
    <n v="2510.3000000000002"/>
    <n v="402.5"/>
    <n v="2912.8"/>
  </r>
  <r>
    <n v="54"/>
    <x v="0"/>
    <x v="48"/>
    <n v="0"/>
    <n v="0"/>
    <n v="0"/>
  </r>
  <r>
    <n v="55"/>
    <x v="0"/>
    <x v="49"/>
    <n v="2263.6"/>
    <n v="18"/>
    <n v="2281.6"/>
  </r>
  <r>
    <n v="56"/>
    <x v="0"/>
    <x v="50"/>
    <n v="69"/>
    <n v="0"/>
    <n v="69"/>
  </r>
  <r>
    <n v="57"/>
    <x v="0"/>
    <x v="51"/>
    <n v="2987.1000000000008"/>
    <n v="40.799999999999997"/>
    <n v="3027.900000000001"/>
  </r>
  <r>
    <n v="58"/>
    <x v="0"/>
    <x v="52"/>
    <n v="0"/>
    <n v="0"/>
    <n v="0"/>
  </r>
  <r>
    <n v="59"/>
    <x v="0"/>
    <x v="53"/>
    <n v="26.5"/>
    <n v="1.1000000000000001"/>
    <n v="27.6"/>
  </r>
  <r>
    <n v="60"/>
    <x v="0"/>
    <x v="54"/>
    <n v="272"/>
    <n v="0"/>
    <n v="272"/>
  </r>
  <r>
    <n v="61"/>
    <x v="0"/>
    <x v="55"/>
    <n v="309.60000000000002"/>
    <n v="0"/>
    <n v="309.60000000000002"/>
  </r>
  <r>
    <n v="62"/>
    <x v="0"/>
    <x v="56"/>
    <n v="11562.500000000002"/>
    <n v="1361.1999999999998"/>
    <n v="12923.7"/>
  </r>
  <r>
    <n v="63"/>
    <x v="0"/>
    <x v="10"/>
    <n v="0.19037120945196143"/>
    <n v="5.1835688635524117E-2"/>
    <n v="0.14855425218255908"/>
  </r>
  <r>
    <n v="64"/>
    <x v="0"/>
    <x v="57"/>
    <n v="0"/>
    <n v="661.4"/>
    <n v="661.4"/>
  </r>
  <r>
    <n v="65"/>
    <x v="0"/>
    <x v="58"/>
    <n v="597.20000000000005"/>
    <n v="376.9"/>
    <n v="974.1"/>
  </r>
  <r>
    <n v="66"/>
    <x v="0"/>
    <x v="59"/>
    <n v="0"/>
    <n v="0"/>
    <n v="0"/>
  </r>
  <r>
    <n v="67"/>
    <x v="0"/>
    <x v="60"/>
    <n v="0"/>
    <n v="1607.2"/>
    <n v="1607.2"/>
  </r>
  <r>
    <n v="68"/>
    <x v="0"/>
    <x v="61"/>
    <n v="465.69999999999993"/>
    <n v="304.79999999999984"/>
    <n v="770.49999999999977"/>
  </r>
  <r>
    <n v="69"/>
    <x v="0"/>
    <x v="62"/>
    <n v="0"/>
    <n v="115.90000000000002"/>
    <n v="115.90000000000002"/>
  </r>
  <r>
    <n v="70"/>
    <x v="0"/>
    <x v="63"/>
    <n v="1062.9000000000001"/>
    <n v="3066.2"/>
    <n v="4129.1000000000004"/>
  </r>
  <r>
    <n v="71"/>
    <x v="0"/>
    <x v="10"/>
    <n v="1.7500156413101819E-2"/>
    <n v="0.11676358249650606"/>
    <n v="4.7462828964383627E-2"/>
  </r>
  <r>
    <n v="72"/>
    <x v="0"/>
    <x v="64"/>
    <n v="0"/>
    <n v="0"/>
    <n v="0"/>
  </r>
  <r>
    <n v="73"/>
    <x v="0"/>
    <x v="65"/>
    <n v="0"/>
    <n v="0"/>
    <n v="0"/>
  </r>
  <r>
    <n v="74"/>
    <x v="0"/>
    <x v="66"/>
    <n v="0"/>
    <n v="0"/>
    <n v="0"/>
  </r>
  <r>
    <n v="75"/>
    <x v="0"/>
    <x v="10"/>
    <n v="0"/>
    <n v="0"/>
    <n v="0"/>
  </r>
  <r>
    <n v="76"/>
    <x v="0"/>
    <x v="67"/>
    <n v="1025"/>
    <n v="412.60000000000008"/>
    <n v="1437.6000000000001"/>
  </r>
  <r>
    <n v="77"/>
    <x v="0"/>
    <x v="10"/>
    <n v="1.6876150459525226E-2"/>
    <n v="1.5712169505595987E-2"/>
    <n v="1.6524802721948586E-2"/>
  </r>
  <r>
    <n v="78"/>
    <x v="0"/>
    <x v="68"/>
    <n v="599.9"/>
    <n v="101.79999999999994"/>
    <n v="701.69999999999993"/>
  </r>
  <r>
    <n v="79"/>
    <x v="0"/>
    <x v="10"/>
    <n v="9.8770757665065205E-3"/>
    <n v="3.8766331935765155E-3"/>
    <n v="8.0658417292649703E-3"/>
  </r>
  <r>
    <n v="80"/>
    <x v="0"/>
    <x v="69"/>
    <n v="60736.600000000006"/>
    <n v="26259.9"/>
    <n v="86996.5"/>
  </r>
  <r>
    <n v="81"/>
    <x v="1"/>
    <x v="0"/>
    <n v="36175.533490000002"/>
    <n v="854.65556000000004"/>
    <n v="37030.189050000001"/>
  </r>
  <r>
    <n v="82"/>
    <x v="1"/>
    <x v="1"/>
    <n v="43.490879999999997"/>
    <n v="4.4355000000000002"/>
    <n v="47.926379999999995"/>
  </r>
  <r>
    <n v="83"/>
    <x v="1"/>
    <x v="2"/>
    <n v="123.7533"/>
    <n v="0"/>
    <n v="123.7533"/>
  </r>
  <r>
    <n v="84"/>
    <x v="1"/>
    <x v="3"/>
    <n v="0"/>
    <n v="32.696919999999999"/>
    <n v="32.696919999999999"/>
  </r>
  <r>
    <n v="85"/>
    <x v="1"/>
    <x v="4"/>
    <n v="1966.83905"/>
    <n v="244.81053"/>
    <n v="2211.6495800000002"/>
  </r>
  <r>
    <n v="86"/>
    <x v="1"/>
    <x v="5"/>
    <n v="12.731809999999999"/>
    <n v="0"/>
    <n v="12.731809999999999"/>
  </r>
  <r>
    <n v="87"/>
    <x v="1"/>
    <x v="6"/>
    <n v="1465.2945099999999"/>
    <n v="491.64132999999998"/>
    <n v="1956.9358399999999"/>
  </r>
  <r>
    <n v="88"/>
    <x v="1"/>
    <x v="7"/>
    <n v="879.49009000000001"/>
    <n v="1372.5131699999999"/>
    <n v="2252.00326"/>
  </r>
  <r>
    <n v="89"/>
    <x v="1"/>
    <x v="8"/>
    <n v="33.884050000000002"/>
    <n v="1803.7973500000001"/>
    <n v="1837.6813999999999"/>
  </r>
  <r>
    <n v="90"/>
    <x v="1"/>
    <x v="9"/>
    <n v="40701.017179999995"/>
    <n v="4804.5503600000002"/>
    <n v="45505.567539999996"/>
  </r>
  <r>
    <n v="91"/>
    <x v="1"/>
    <x v="10"/>
    <n v="0.50710926388667443"/>
    <n v="6.444541795001317E-2"/>
    <n v="0.29393876881742353"/>
  </r>
  <r>
    <n v="92"/>
    <x v="1"/>
    <x v="11"/>
    <n v="0"/>
    <n v="0"/>
    <n v="0"/>
  </r>
  <r>
    <n v="93"/>
    <x v="1"/>
    <x v="12"/>
    <n v="933.83558000000005"/>
    <n v="427.33521000000002"/>
    <n v="1361.1707900000001"/>
  </r>
  <r>
    <n v="94"/>
    <x v="1"/>
    <x v="13"/>
    <n v="0"/>
    <n v="0"/>
    <n v="0"/>
  </r>
  <r>
    <n v="95"/>
    <x v="1"/>
    <x v="14"/>
    <n v="265.99086999999997"/>
    <n v="27.463789999999999"/>
    <n v="293.45465999999999"/>
  </r>
  <r>
    <n v="96"/>
    <x v="1"/>
    <x v="15"/>
    <n v="1199.82645"/>
    <n v="454.79900000000004"/>
    <n v="1654.62545"/>
  </r>
  <r>
    <n v="97"/>
    <x v="1"/>
    <x v="10"/>
    <n v="1.4949088499690951E-2"/>
    <n v="6.1004067898349683E-3"/>
    <n v="1.0687891480519605E-2"/>
  </r>
  <r>
    <n v="98"/>
    <x v="1"/>
    <x v="16"/>
    <n v="0"/>
    <n v="0"/>
    <n v="0"/>
  </r>
  <r>
    <n v="99"/>
    <x v="1"/>
    <x v="17"/>
    <n v="0"/>
    <n v="595.65763000000004"/>
    <n v="595.65763000000004"/>
  </r>
  <r>
    <n v="100"/>
    <x v="1"/>
    <x v="18"/>
    <n v="0"/>
    <n v="1465.71433"/>
    <n v="1465.71433"/>
  </r>
  <r>
    <n v="101"/>
    <x v="1"/>
    <x v="19"/>
    <n v="432.23068000000001"/>
    <n v="1051.72478"/>
    <n v="1483.9554600000001"/>
  </r>
  <r>
    <n v="102"/>
    <x v="1"/>
    <x v="20"/>
    <n v="0"/>
    <n v="0"/>
    <n v="0"/>
  </r>
  <r>
    <n v="103"/>
    <x v="1"/>
    <x v="21"/>
    <n v="69.232870000000005"/>
    <n v="1035.2412999999999"/>
    <n v="1104.47417"/>
  </r>
  <r>
    <n v="104"/>
    <x v="1"/>
    <x v="22"/>
    <n v="501.46355"/>
    <n v="4148.3380399999996"/>
    <n v="4649.80159"/>
  </r>
  <r>
    <n v="105"/>
    <x v="1"/>
    <x v="10"/>
    <n v="6.2479227627622296E-3"/>
    <n v="5.564337112822737E-2"/>
    <n v="3.0034939206252092E-2"/>
  </r>
  <r>
    <n v="106"/>
    <x v="1"/>
    <x v="23"/>
    <n v="3178.1629200000002"/>
    <n v="478.64866000000001"/>
    <n v="3656.81158"/>
  </r>
  <r>
    <n v="107"/>
    <x v="1"/>
    <x v="24"/>
    <n v="3352.3388500000001"/>
    <n v="130.44977"/>
    <n v="3482.7886200000003"/>
  </r>
  <r>
    <n v="108"/>
    <x v="1"/>
    <x v="25"/>
    <n v="230.45089999999999"/>
    <n v="111.37511000000001"/>
    <n v="341.82601"/>
  </r>
  <r>
    <n v="109"/>
    <x v="1"/>
    <x v="26"/>
    <n v="0"/>
    <n v="0"/>
    <n v="0"/>
  </r>
  <r>
    <n v="110"/>
    <x v="1"/>
    <x v="27"/>
    <n v="347.91356000000002"/>
    <n v="3.5137499999999999"/>
    <n v="351.42731000000003"/>
  </r>
  <r>
    <n v="111"/>
    <x v="1"/>
    <x v="28"/>
    <n v="7108.8662300000005"/>
    <n v="723.98728999999992"/>
    <n v="7832.8535200000006"/>
  </r>
  <r>
    <n v="112"/>
    <x v="1"/>
    <x v="10"/>
    <n v="8.857203506785033E-2"/>
    <n v="9.7111404811141121E-3"/>
    <n v="5.0595552246924524E-2"/>
  </r>
  <r>
    <n v="113"/>
    <x v="1"/>
    <x v="29"/>
    <n v="215.08296000000001"/>
    <n v="623.79340999999999"/>
    <n v="838.87636999999995"/>
  </r>
  <r>
    <n v="114"/>
    <x v="1"/>
    <x v="30"/>
    <n v="2.5649999999999999E-2"/>
    <n v="1621.20451"/>
    <n v="1621.2301600000001"/>
  </r>
  <r>
    <n v="115"/>
    <x v="1"/>
    <x v="31"/>
    <n v="371.54352"/>
    <n v="79.005409999999998"/>
    <n v="450.54892999999998"/>
  </r>
  <r>
    <n v="116"/>
    <x v="1"/>
    <x v="32"/>
    <n v="418.95240000000001"/>
    <n v="863.02646000000004"/>
    <n v="1281.9788600000002"/>
  </r>
  <r>
    <n v="117"/>
    <x v="1"/>
    <x v="33"/>
    <n v="7187.3130199999996"/>
    <n v="21895.88435"/>
    <n v="29083.197370000002"/>
  </r>
  <r>
    <n v="118"/>
    <x v="1"/>
    <x v="34"/>
    <n v="1304.9217200000001"/>
    <n v="5400.8806800000002"/>
    <n v="6705.8024000000005"/>
  </r>
  <r>
    <n v="119"/>
    <x v="1"/>
    <x v="35"/>
    <n v="1332.81394"/>
    <n v="238.22130999999999"/>
    <n v="1571.0352499999999"/>
  </r>
  <r>
    <n v="120"/>
    <x v="1"/>
    <x v="36"/>
    <n v="10830.65321"/>
    <n v="30722.016130000004"/>
    <n v="41552.669340000008"/>
  </r>
  <r>
    <n v="121"/>
    <x v="1"/>
    <x v="10"/>
    <n v="0.1349431772784738"/>
    <n v="0.41208708857510989"/>
    <n v="0.26840540898958992"/>
  </r>
  <r>
    <n v="122"/>
    <x v="1"/>
    <x v="37"/>
    <n v="2512.75567"/>
    <n v="174.33758"/>
    <n v="2687.0932499999999"/>
  </r>
  <r>
    <n v="123"/>
    <x v="1"/>
    <x v="38"/>
    <n v="971.79271000000006"/>
    <n v="2101.7183199999999"/>
    <n v="3073.5110300000001"/>
  </r>
  <r>
    <n v="124"/>
    <x v="1"/>
    <x v="39"/>
    <n v="1534.57942"/>
    <n v="104.33951"/>
    <n v="1638.91893"/>
  </r>
  <r>
    <n v="125"/>
    <x v="1"/>
    <x v="40"/>
    <n v="0"/>
    <n v="15.18876"/>
    <n v="15.18876"/>
  </r>
  <r>
    <n v="126"/>
    <x v="1"/>
    <x v="41"/>
    <n v="1453.6117400000001"/>
    <n v="174.12822"/>
    <n v="1627.7399600000001"/>
  </r>
  <r>
    <n v="127"/>
    <x v="1"/>
    <x v="42"/>
    <n v="6472.7395400000005"/>
    <n v="2569.7123899999997"/>
    <n v="9042.4519299999993"/>
  </r>
  <r>
    <n v="128"/>
    <x v="1"/>
    <x v="10"/>
    <n v="8.06462936526436E-2"/>
    <n v="3.4468613413571797E-2"/>
    <n v="5.840883503010004E-2"/>
  </r>
  <r>
    <n v="129"/>
    <x v="1"/>
    <x v="43"/>
    <n v="234.68869000000001"/>
    <n v="1.2985"/>
    <n v="235.98719"/>
  </r>
  <r>
    <n v="130"/>
    <x v="1"/>
    <x v="44"/>
    <n v="1092.9871499999999"/>
    <n v="3947.73038"/>
    <n v="5040.7175299999999"/>
  </r>
  <r>
    <n v="131"/>
    <x v="1"/>
    <x v="45"/>
    <n v="1193.71138"/>
    <n v="3378.84238"/>
    <n v="4572.5537599999998"/>
  </r>
  <r>
    <n v="132"/>
    <x v="1"/>
    <x v="46"/>
    <n v="282.71980000000002"/>
    <n v="239.38905"/>
    <n v="522.10885000000007"/>
  </r>
  <r>
    <n v="133"/>
    <x v="1"/>
    <x v="47"/>
    <n v="6126.9889499999999"/>
    <n v="5869.9294"/>
    <n v="11996.91835"/>
  </r>
  <r>
    <n v="134"/>
    <x v="1"/>
    <x v="48"/>
    <n v="0"/>
    <n v="0"/>
    <n v="0"/>
  </r>
  <r>
    <n v="135"/>
    <x v="1"/>
    <x v="49"/>
    <n v="347.92790000000002"/>
    <n v="0"/>
    <n v="347.92790000000002"/>
  </r>
  <r>
    <n v="136"/>
    <x v="1"/>
    <x v="50"/>
    <n v="55.5"/>
    <n v="2769.5691900000002"/>
    <n v="2825.0691900000002"/>
  </r>
  <r>
    <n v="137"/>
    <x v="1"/>
    <x v="51"/>
    <n v="357.27904000000001"/>
    <n v="718.84726000000001"/>
    <n v="1076.1262999999999"/>
  </r>
  <r>
    <n v="138"/>
    <x v="1"/>
    <x v="52"/>
    <n v="240.98814999999999"/>
    <n v="196.30246"/>
    <n v="437.29061000000002"/>
  </r>
  <r>
    <n v="139"/>
    <x v="1"/>
    <x v="53"/>
    <n v="110.22239999999999"/>
    <n v="67.390749999999997"/>
    <n v="177.61314999999999"/>
  </r>
  <r>
    <n v="140"/>
    <x v="1"/>
    <x v="54"/>
    <n v="10"/>
    <n v="0"/>
    <n v="10"/>
  </r>
  <r>
    <n v="141"/>
    <x v="1"/>
    <x v="55"/>
    <n v="538.55204000000003"/>
    <n v="2.45994"/>
    <n v="541.01197999999999"/>
  </r>
  <r>
    <n v="142"/>
    <x v="1"/>
    <x v="56"/>
    <n v="10591.565499999999"/>
    <n v="17191.759309999998"/>
    <n v="27783.324809999998"/>
  </r>
  <r>
    <n v="143"/>
    <x v="1"/>
    <x v="10"/>
    <n v="0.13196429367745094"/>
    <n v="0.23060016671965528"/>
    <n v="0.17946367290392393"/>
  </r>
  <r>
    <n v="144"/>
    <x v="1"/>
    <x v="57"/>
    <n v="0"/>
    <n v="3835.38472"/>
    <n v="3835.38472"/>
  </r>
  <r>
    <n v="145"/>
    <x v="1"/>
    <x v="58"/>
    <n v="0"/>
    <n v="3745.9802599999998"/>
    <n v="3745.9802599999998"/>
  </r>
  <r>
    <n v="146"/>
    <x v="1"/>
    <x v="59"/>
    <n v="0"/>
    <n v="4405.7759900000001"/>
    <n v="4405.7759900000001"/>
  </r>
  <r>
    <n v="147"/>
    <x v="1"/>
    <x v="60"/>
    <n v="0"/>
    <n v="609.58155999999997"/>
    <n v="609.58155999999997"/>
  </r>
  <r>
    <n v="148"/>
    <x v="1"/>
    <x v="61"/>
    <n v="0"/>
    <n v="633.86048000000005"/>
    <n v="633.86048000000005"/>
  </r>
  <r>
    <n v="149"/>
    <x v="1"/>
    <x v="62"/>
    <n v="0"/>
    <n v="0"/>
    <n v="0"/>
  </r>
  <r>
    <n v="150"/>
    <x v="1"/>
    <x v="63"/>
    <n v="0"/>
    <n v="13230.58301"/>
    <n v="13230.58301"/>
  </r>
  <r>
    <n v="151"/>
    <x v="1"/>
    <x v="10"/>
    <n v="0"/>
    <n v="0.17746727329584974"/>
    <n v="8.5461658670176036E-2"/>
  </r>
  <r>
    <n v="152"/>
    <x v="1"/>
    <x v="64"/>
    <n v="0"/>
    <n v="0"/>
    <n v="0"/>
  </r>
  <r>
    <n v="153"/>
    <x v="1"/>
    <x v="65"/>
    <n v="0"/>
    <n v="0"/>
    <n v="0"/>
  </r>
  <r>
    <n v="154"/>
    <x v="1"/>
    <x v="66"/>
    <n v="0"/>
    <n v="0"/>
    <n v="0"/>
  </r>
  <r>
    <n v="155"/>
    <x v="1"/>
    <x v="10"/>
    <n v="0"/>
    <n v="0"/>
    <n v="0"/>
  </r>
  <r>
    <n v="156"/>
    <x v="1"/>
    <x v="67"/>
    <n v="1713.3"/>
    <n v="671.02463999999998"/>
    <n v="2384.3246399999998"/>
  </r>
  <r>
    <n v="157"/>
    <x v="1"/>
    <x v="10"/>
    <n v="2.1346648364453463E-2"/>
    <n v="9.0007305864845018E-3"/>
    <n v="1.5401312125743605E-2"/>
  </r>
  <r>
    <n v="158"/>
    <x v="1"/>
    <x v="68"/>
    <n v="1141.41167"/>
    <n v="35.471290000000003"/>
    <n v="1176.8829599999999"/>
  </r>
  <r>
    <n v="159"/>
    <x v="1"/>
    <x v="10"/>
    <n v="1.4221276810000348E-2"/>
    <n v="4.7579106013910587E-4"/>
    <n v="7.601960529346803E-3"/>
  </r>
  <r>
    <n v="160"/>
    <x v="1"/>
    <x v="69"/>
    <n v="80260.843329999989"/>
    <n v="74552.241460000005"/>
    <n v="154813.08478999999"/>
  </r>
  <r>
    <n v="161"/>
    <x v="2"/>
    <x v="0"/>
    <n v="31527.711039999998"/>
    <n v="2472.5039900000002"/>
    <n v="34000.215029999999"/>
  </r>
  <r>
    <n v="162"/>
    <x v="2"/>
    <x v="1"/>
    <n v="8.4702999999999999"/>
    <n v="0.95499999999999996"/>
    <n v="9.4253"/>
  </r>
  <r>
    <n v="163"/>
    <x v="2"/>
    <x v="2"/>
    <n v="0"/>
    <n v="62.486309999999996"/>
    <n v="62.486309999999996"/>
  </r>
  <r>
    <n v="164"/>
    <x v="2"/>
    <x v="3"/>
    <n v="0"/>
    <n v="0"/>
    <n v="0"/>
  </r>
  <r>
    <n v="165"/>
    <x v="2"/>
    <x v="4"/>
    <n v="1931.9647399999997"/>
    <n v="107.09048999999999"/>
    <n v="2039.0552299999997"/>
  </r>
  <r>
    <n v="166"/>
    <x v="2"/>
    <x v="5"/>
    <n v="11.599430000000002"/>
    <n v="562.68556999999998"/>
    <n v="574.28499999999997"/>
  </r>
  <r>
    <n v="167"/>
    <x v="2"/>
    <x v="6"/>
    <n v="0"/>
    <n v="506.25435999999996"/>
    <n v="506.25435999999996"/>
  </r>
  <r>
    <n v="168"/>
    <x v="2"/>
    <x v="7"/>
    <n v="0"/>
    <n v="49.484729999999999"/>
    <n v="49.484729999999999"/>
  </r>
  <r>
    <n v="169"/>
    <x v="2"/>
    <x v="8"/>
    <n v="8.3000000000000004E-2"/>
    <n v="760.30035999999984"/>
    <n v="760.38335999999981"/>
  </r>
  <r>
    <n v="170"/>
    <x v="2"/>
    <x v="9"/>
    <n v="33479.828509999999"/>
    <n v="4521.7608099999998"/>
    <n v="38001.589319999999"/>
  </r>
  <r>
    <n v="171"/>
    <x v="2"/>
    <x v="10"/>
    <n v="0.58847106203372623"/>
    <n v="9.1346957361293918E-2"/>
    <n v="0.35717843433970503"/>
  </r>
  <r>
    <n v="172"/>
    <x v="2"/>
    <x v="11"/>
    <n v="0"/>
    <n v="479.88264000000009"/>
    <n v="479.88264000000009"/>
  </r>
  <r>
    <n v="173"/>
    <x v="2"/>
    <x v="12"/>
    <n v="0.38548000000000004"/>
    <n v="46.294310000000003"/>
    <n v="46.679790000000004"/>
  </r>
  <r>
    <n v="174"/>
    <x v="2"/>
    <x v="13"/>
    <n v="0"/>
    <n v="0"/>
    <n v="0"/>
  </r>
  <r>
    <n v="175"/>
    <x v="2"/>
    <x v="14"/>
    <n v="442.25599999999997"/>
    <n v="37.852359999999983"/>
    <n v="480.10835999999995"/>
  </r>
  <r>
    <n v="176"/>
    <x v="2"/>
    <x v="15"/>
    <n v="442.64147999999994"/>
    <n v="564.02931000000012"/>
    <n v="1006.6707900000001"/>
  </r>
  <r>
    <n v="177"/>
    <x v="2"/>
    <x v="10"/>
    <n v="7.7802579471987973E-3"/>
    <n v="1.1394313741042408E-2"/>
    <n v="9.4617383930960825E-3"/>
  </r>
  <r>
    <n v="178"/>
    <x v="2"/>
    <x v="16"/>
    <n v="0"/>
    <n v="73.591560000000001"/>
    <n v="73.591560000000001"/>
  </r>
  <r>
    <n v="179"/>
    <x v="2"/>
    <x v="17"/>
    <n v="0"/>
    <n v="3063.6110099999996"/>
    <n v="3063.6110099999996"/>
  </r>
  <r>
    <n v="180"/>
    <x v="2"/>
    <x v="18"/>
    <n v="0"/>
    <n v="0"/>
    <n v="0"/>
  </r>
  <r>
    <n v="181"/>
    <x v="2"/>
    <x v="19"/>
    <n v="22.609620000000003"/>
    <n v="251.02432000000002"/>
    <n v="273.63394"/>
  </r>
  <r>
    <n v="182"/>
    <x v="2"/>
    <x v="20"/>
    <n v="0"/>
    <n v="219.48706000000001"/>
    <n v="219.48706000000001"/>
  </r>
  <r>
    <n v="183"/>
    <x v="2"/>
    <x v="21"/>
    <n v="0"/>
    <n v="104.44819"/>
    <n v="104.44819"/>
  </r>
  <r>
    <n v="184"/>
    <x v="2"/>
    <x v="22"/>
    <n v="22.609620000000003"/>
    <n v="3712.1621399999995"/>
    <n v="3734.7717599999996"/>
  </r>
  <r>
    <n v="185"/>
    <x v="2"/>
    <x v="10"/>
    <n v="3.9740666800622688E-4"/>
    <n v="7.4991741263905898E-2"/>
    <n v="3.5103266829708074E-2"/>
  </r>
  <r>
    <n v="186"/>
    <x v="2"/>
    <x v="23"/>
    <n v="211.86465000000001"/>
    <n v="0"/>
    <n v="211.86465000000001"/>
  </r>
  <r>
    <n v="187"/>
    <x v="2"/>
    <x v="24"/>
    <n v="2115.3030099999996"/>
    <n v="0"/>
    <n v="2115.3030099999996"/>
  </r>
  <r>
    <n v="188"/>
    <x v="2"/>
    <x v="25"/>
    <n v="0"/>
    <n v="0"/>
    <n v="0"/>
  </r>
  <r>
    <n v="189"/>
    <x v="2"/>
    <x v="26"/>
    <n v="0"/>
    <n v="0"/>
    <n v="0"/>
  </r>
  <r>
    <n v="190"/>
    <x v="2"/>
    <x v="27"/>
    <n v="704.08244000000002"/>
    <n v="0"/>
    <n v="704.08244000000002"/>
  </r>
  <r>
    <n v="191"/>
    <x v="2"/>
    <x v="28"/>
    <n v="3031.2500999999997"/>
    <n v="0"/>
    <n v="3031.2500999999997"/>
  </r>
  <r>
    <n v="192"/>
    <x v="2"/>
    <x v="10"/>
    <n v="5.327993138029484E-2"/>
    <n v="0"/>
    <n v="2.8490839046046358E-2"/>
  </r>
  <r>
    <n v="193"/>
    <x v="2"/>
    <x v="29"/>
    <n v="0"/>
    <n v="930.54674999999952"/>
    <n v="930.54674999999952"/>
  </r>
  <r>
    <n v="194"/>
    <x v="2"/>
    <x v="30"/>
    <n v="0"/>
    <n v="890.82078999999999"/>
    <n v="890.82078999999999"/>
  </r>
  <r>
    <n v="195"/>
    <x v="2"/>
    <x v="31"/>
    <n v="699.08564999999987"/>
    <n v="767.52566999999988"/>
    <n v="1466.6113199999998"/>
  </r>
  <r>
    <n v="196"/>
    <x v="2"/>
    <x v="32"/>
    <n v="549.94551999999999"/>
    <n v="80.804540000000031"/>
    <n v="630.75006000000008"/>
  </r>
  <r>
    <n v="197"/>
    <x v="2"/>
    <x v="33"/>
    <n v="0"/>
    <n v="25453.44744"/>
    <n v="25453.44744"/>
  </r>
  <r>
    <n v="198"/>
    <x v="2"/>
    <x v="34"/>
    <n v="0"/>
    <n v="964.33597000000009"/>
    <n v="964.33597000000009"/>
  </r>
  <r>
    <n v="199"/>
    <x v="2"/>
    <x v="35"/>
    <n v="425.11678000000001"/>
    <n v="601.32082000000003"/>
    <n v="1026.4376"/>
  </r>
  <r>
    <n v="200"/>
    <x v="2"/>
    <x v="36"/>
    <n v="1674.1479499999998"/>
    <n v="29688.80198"/>
    <n v="31362.949929999999"/>
  </r>
  <r>
    <n v="201"/>
    <x v="2"/>
    <x v="10"/>
    <n v="2.9426304314665842E-2"/>
    <n v="0.59976231440135785"/>
    <n v="0.29478160131519365"/>
  </r>
  <r>
    <n v="202"/>
    <x v="2"/>
    <x v="37"/>
    <n v="3344.0457099999971"/>
    <n v="208.70302000000049"/>
    <n v="3552.7487299999975"/>
  </r>
  <r>
    <n v="203"/>
    <x v="2"/>
    <x v="38"/>
    <n v="1569.2517999999995"/>
    <n v="118.97219999999996"/>
    <n v="1688.2239999999995"/>
  </r>
  <r>
    <n v="204"/>
    <x v="2"/>
    <x v="39"/>
    <n v="4075.0660900000021"/>
    <n v="2214.5412799999995"/>
    <n v="6289.6073700000015"/>
  </r>
  <r>
    <n v="205"/>
    <x v="2"/>
    <x v="40"/>
    <n v="0"/>
    <n v="392.96155000000005"/>
    <n v="392.96155000000005"/>
  </r>
  <r>
    <n v="206"/>
    <x v="2"/>
    <x v="41"/>
    <n v="2515.7589399999993"/>
    <n v="2.8275000000000001"/>
    <n v="2518.5864399999991"/>
  </r>
  <r>
    <n v="207"/>
    <x v="2"/>
    <x v="42"/>
    <n v="11504.122539999998"/>
    <n v="2938.0055499999999"/>
    <n v="14442.128089999998"/>
  </r>
  <r>
    <n v="208"/>
    <x v="2"/>
    <x v="10"/>
    <n v="0.20220662739828135"/>
    <n v="5.935251309834208E-2"/>
    <n v="0.13574213057991319"/>
  </r>
  <r>
    <n v="209"/>
    <x v="2"/>
    <x v="43"/>
    <n v="4223.9693999999981"/>
    <n v="15.34328"/>
    <n v="4239.3126799999982"/>
  </r>
  <r>
    <n v="210"/>
    <x v="2"/>
    <x v="44"/>
    <n v="0"/>
    <n v="2.8546999999999998"/>
    <n v="2.8546999999999998"/>
  </r>
  <r>
    <n v="211"/>
    <x v="2"/>
    <x v="45"/>
    <n v="16.485199999999999"/>
    <n v="0"/>
    <n v="16.485199999999999"/>
  </r>
  <r>
    <n v="212"/>
    <x v="2"/>
    <x v="46"/>
    <n v="0"/>
    <n v="0"/>
    <n v="0"/>
  </r>
  <r>
    <n v="213"/>
    <x v="2"/>
    <x v="47"/>
    <n v="1261.2550200000001"/>
    <n v="0"/>
    <n v="1261.2550200000001"/>
  </r>
  <r>
    <n v="214"/>
    <x v="2"/>
    <x v="48"/>
    <n v="0"/>
    <n v="10.755040000000001"/>
    <n v="10.755040000000001"/>
  </r>
  <r>
    <n v="215"/>
    <x v="2"/>
    <x v="49"/>
    <n v="1235.0988500000001"/>
    <n v="0"/>
    <n v="1235.0988500000001"/>
  </r>
  <r>
    <n v="216"/>
    <x v="2"/>
    <x v="50"/>
    <n v="0"/>
    <n v="6026.1748499999994"/>
    <n v="6026.1748499999994"/>
  </r>
  <r>
    <n v="217"/>
    <x v="2"/>
    <x v="51"/>
    <n v="1.49681"/>
    <n v="35.348320000000001"/>
    <n v="36.845129999999997"/>
  </r>
  <r>
    <n v="218"/>
    <x v="2"/>
    <x v="52"/>
    <n v="0"/>
    <n v="0"/>
    <n v="0"/>
  </r>
  <r>
    <n v="219"/>
    <x v="2"/>
    <x v="53"/>
    <n v="0"/>
    <n v="75.707440000000005"/>
    <n v="75.707440000000005"/>
  </r>
  <r>
    <n v="220"/>
    <x v="2"/>
    <x v="54"/>
    <n v="0"/>
    <n v="0"/>
    <n v="0"/>
  </r>
  <r>
    <n v="221"/>
    <x v="2"/>
    <x v="55"/>
    <n v="0"/>
    <n v="0"/>
    <n v="0"/>
  </r>
  <r>
    <n v="222"/>
    <x v="2"/>
    <x v="56"/>
    <n v="6738.3052799999978"/>
    <n v="6166.1836299999995"/>
    <n v="12904.488909999996"/>
  </r>
  <r>
    <n v="223"/>
    <x v="2"/>
    <x v="10"/>
    <n v="0.11843841025782673"/>
    <n v="0.12456698547297078"/>
    <n v="0.12128979938220873"/>
  </r>
  <r>
    <n v="224"/>
    <x v="2"/>
    <x v="57"/>
    <n v="0"/>
    <n v="964.96776"/>
    <n v="964.96776"/>
  </r>
  <r>
    <n v="225"/>
    <x v="2"/>
    <x v="58"/>
    <n v="0"/>
    <n v="12.52877"/>
    <n v="12.52877"/>
  </r>
  <r>
    <n v="226"/>
    <x v="2"/>
    <x v="59"/>
    <n v="0"/>
    <n v="18.337490000000003"/>
    <n v="18.337490000000003"/>
  </r>
  <r>
    <n v="227"/>
    <x v="2"/>
    <x v="60"/>
    <n v="0"/>
    <n v="0"/>
    <n v="0"/>
  </r>
  <r>
    <n v="228"/>
    <x v="2"/>
    <x v="61"/>
    <n v="0"/>
    <n v="914.16862999999989"/>
    <n v="914.16862999999989"/>
  </r>
  <r>
    <n v="229"/>
    <x v="2"/>
    <x v="62"/>
    <n v="0"/>
    <n v="0"/>
    <n v="0"/>
  </r>
  <r>
    <n v="230"/>
    <x v="2"/>
    <x v="63"/>
    <n v="0"/>
    <n v="1910.0026499999999"/>
    <n v="1910.0026499999999"/>
  </r>
  <r>
    <n v="231"/>
    <x v="2"/>
    <x v="10"/>
    <n v="0"/>
    <n v="3.8585174661087039E-2"/>
    <n v="1.7952190114128828E-2"/>
  </r>
  <r>
    <n v="232"/>
    <x v="2"/>
    <x v="64"/>
    <n v="0"/>
    <n v="0"/>
    <n v="0"/>
  </r>
  <r>
    <n v="233"/>
    <x v="2"/>
    <x v="65"/>
    <n v="0"/>
    <n v="0"/>
    <n v="0"/>
  </r>
  <r>
    <n v="234"/>
    <x v="2"/>
    <x v="66"/>
    <n v="0"/>
    <n v="0"/>
    <n v="0"/>
  </r>
  <r>
    <n v="235"/>
    <x v="2"/>
    <x v="10"/>
    <n v="0"/>
    <n v="0"/>
    <n v="0"/>
  </r>
  <r>
    <n v="236"/>
    <x v="2"/>
    <x v="67"/>
    <n v="0"/>
    <n v="0"/>
    <n v="0"/>
  </r>
  <r>
    <n v="237"/>
    <x v="2"/>
    <x v="10"/>
    <n v="0"/>
    <n v="0"/>
    <n v="0"/>
  </r>
  <r>
    <n v="238"/>
    <x v="2"/>
    <x v="68"/>
    <n v="0"/>
    <n v="0"/>
    <n v="0"/>
  </r>
  <r>
    <n v="239"/>
    <x v="2"/>
    <x v="10"/>
    <n v="0"/>
    <n v="0"/>
    <n v="0"/>
  </r>
  <r>
    <n v="240"/>
    <x v="2"/>
    <x v="69"/>
    <n v="56892.905479999994"/>
    <n v="49500.946069999998"/>
    <n v="106393.85154999999"/>
  </r>
  <r>
    <n v="241"/>
    <x v="3"/>
    <x v="0"/>
    <n v="80981.3"/>
    <n v="1267.0999999999999"/>
    <n v="82248.400000000009"/>
  </r>
  <r>
    <n v="242"/>
    <x v="3"/>
    <x v="1"/>
    <n v="52.3"/>
    <n v="0"/>
    <n v="52.3"/>
  </r>
  <r>
    <n v="243"/>
    <x v="3"/>
    <x v="2"/>
    <n v="139.9"/>
    <n v="0"/>
    <n v="139.9"/>
  </r>
  <r>
    <n v="244"/>
    <x v="3"/>
    <x v="3"/>
    <n v="16242.7"/>
    <n v="0"/>
    <n v="16242.7"/>
  </r>
  <r>
    <n v="245"/>
    <x v="3"/>
    <x v="4"/>
    <n v="4062.4"/>
    <n v="1795.8"/>
    <n v="5858.2"/>
  </r>
  <r>
    <n v="246"/>
    <x v="3"/>
    <x v="5"/>
    <n v="2425.8000000000002"/>
    <n v="47.2"/>
    <n v="2473"/>
  </r>
  <r>
    <n v="247"/>
    <x v="3"/>
    <x v="6"/>
    <n v="2891.7"/>
    <n v="2.2000000000000002"/>
    <n v="2893.8999999999996"/>
  </r>
  <r>
    <n v="248"/>
    <x v="3"/>
    <x v="7"/>
    <n v="16521.8"/>
    <n v="3135.4"/>
    <n v="19657.2"/>
  </r>
  <r>
    <n v="249"/>
    <x v="3"/>
    <x v="8"/>
    <n v="37"/>
    <n v="0"/>
    <n v="37"/>
  </r>
  <r>
    <n v="250"/>
    <x v="3"/>
    <x v="9"/>
    <n v="123354.9"/>
    <n v="6247.6999999999989"/>
    <n v="129602.59999999999"/>
  </r>
  <r>
    <n v="251"/>
    <x v="3"/>
    <x v="10"/>
    <n v="0.44208757394413895"/>
    <n v="2.4290249764589426E-2"/>
    <n v="0.24168839829448988"/>
  </r>
  <r>
    <n v="252"/>
    <x v="3"/>
    <x v="11"/>
    <n v="1.1000000000000001"/>
    <n v="0"/>
    <n v="1.1000000000000001"/>
  </r>
  <r>
    <n v="253"/>
    <x v="3"/>
    <x v="12"/>
    <n v="783.4"/>
    <n v="10877.6"/>
    <n v="11661"/>
  </r>
  <r>
    <n v="254"/>
    <x v="3"/>
    <x v="13"/>
    <n v="175.6"/>
    <n v="9993.7000000000007"/>
    <n v="10169.300000000001"/>
  </r>
  <r>
    <n v="255"/>
    <x v="3"/>
    <x v="14"/>
    <n v="1869.4"/>
    <n v="328.1"/>
    <n v="2197.5"/>
  </r>
  <r>
    <n v="256"/>
    <x v="3"/>
    <x v="15"/>
    <n v="2829.5"/>
    <n v="21199.4"/>
    <n v="24028.9"/>
  </r>
  <r>
    <n v="257"/>
    <x v="3"/>
    <x v="10"/>
    <n v="1.0140552101902244E-2"/>
    <n v="8.2420526091111487E-2"/>
    <n v="4.4810106847998951E-2"/>
  </r>
  <r>
    <n v="258"/>
    <x v="3"/>
    <x v="16"/>
    <n v="0"/>
    <n v="0"/>
    <n v="0"/>
  </r>
  <r>
    <n v="259"/>
    <x v="3"/>
    <x v="17"/>
    <n v="776.6"/>
    <n v="1187.7"/>
    <n v="1964.3000000000002"/>
  </r>
  <r>
    <n v="260"/>
    <x v="3"/>
    <x v="18"/>
    <n v="353.9"/>
    <n v="246.2"/>
    <n v="600.09999999999991"/>
  </r>
  <r>
    <n v="261"/>
    <x v="3"/>
    <x v="19"/>
    <n v="1071.3"/>
    <n v="10375.200000000001"/>
    <n v="11446.5"/>
  </r>
  <r>
    <n v="262"/>
    <x v="3"/>
    <x v="20"/>
    <n v="0"/>
    <n v="0"/>
    <n v="0"/>
  </r>
  <r>
    <n v="263"/>
    <x v="3"/>
    <x v="21"/>
    <n v="0"/>
    <n v="5.8"/>
    <n v="5.8"/>
  </r>
  <r>
    <n v="264"/>
    <x v="3"/>
    <x v="22"/>
    <n v="2201.8000000000002"/>
    <n v="11814.9"/>
    <n v="14016.7"/>
  </r>
  <r>
    <n v="265"/>
    <x v="3"/>
    <x v="10"/>
    <n v="7.8909586916304526E-3"/>
    <n v="4.5934803518678499E-2"/>
    <n v="2.6138933727983673E-2"/>
  </r>
  <r>
    <n v="266"/>
    <x v="3"/>
    <x v="23"/>
    <n v="11605.1"/>
    <n v="13.7"/>
    <n v="11618.800000000001"/>
  </r>
  <r>
    <n v="267"/>
    <x v="3"/>
    <x v="24"/>
    <n v="9533.2000000000007"/>
    <n v="75.7"/>
    <n v="9608.9000000000015"/>
  </r>
  <r>
    <n v="268"/>
    <x v="3"/>
    <x v="25"/>
    <n v="283.5"/>
    <n v="4.5999999999999996"/>
    <n v="288.10000000000002"/>
  </r>
  <r>
    <n v="269"/>
    <x v="3"/>
    <x v="26"/>
    <n v="0"/>
    <n v="0"/>
    <n v="0"/>
  </r>
  <r>
    <n v="270"/>
    <x v="3"/>
    <x v="27"/>
    <n v="697.2"/>
    <n v="31.2"/>
    <n v="728.40000000000009"/>
  </r>
  <r>
    <n v="271"/>
    <x v="3"/>
    <x v="28"/>
    <n v="22119.000000000004"/>
    <n v="125.2"/>
    <n v="22244.200000000004"/>
  </r>
  <r>
    <n v="272"/>
    <x v="3"/>
    <x v="10"/>
    <n v="7.9271557498489409E-2"/>
    <n v="4.8676141148368149E-4"/>
    <n v="4.1481922965606349E-2"/>
  </r>
  <r>
    <n v="273"/>
    <x v="3"/>
    <x v="29"/>
    <n v="1414.9"/>
    <n v="8303.9"/>
    <n v="9718.7999999999993"/>
  </r>
  <r>
    <n v="274"/>
    <x v="3"/>
    <x v="30"/>
    <n v="298.39999999999998"/>
    <n v="15138.9"/>
    <n v="15437.3"/>
  </r>
  <r>
    <n v="275"/>
    <x v="3"/>
    <x v="31"/>
    <n v="1877.3"/>
    <n v="820.8"/>
    <n v="2698.1"/>
  </r>
  <r>
    <n v="276"/>
    <x v="3"/>
    <x v="32"/>
    <n v="1161.9000000000001"/>
    <n v="0"/>
    <n v="1161.9000000000001"/>
  </r>
  <r>
    <n v="277"/>
    <x v="3"/>
    <x v="33"/>
    <n v="38724.9"/>
    <n v="81769.3"/>
    <n v="120494.20000000001"/>
  </r>
  <r>
    <n v="278"/>
    <x v="3"/>
    <x v="34"/>
    <n v="664.9"/>
    <n v="16154.2"/>
    <n v="16819.100000000002"/>
  </r>
  <r>
    <n v="279"/>
    <x v="3"/>
    <x v="35"/>
    <n v="973.4"/>
    <n v="9.9"/>
    <n v="983.3"/>
  </r>
  <r>
    <n v="280"/>
    <x v="3"/>
    <x v="36"/>
    <n v="45115.700000000004"/>
    <n v="122196.99999999999"/>
    <n v="167312.69999999998"/>
  </r>
  <r>
    <n v="281"/>
    <x v="3"/>
    <x v="10"/>
    <n v="0.16168867519483696"/>
    <n v="0.47508613577533082"/>
    <n v="0.31201178431085869"/>
  </r>
  <r>
    <n v="282"/>
    <x v="3"/>
    <x v="37"/>
    <n v="4586.8"/>
    <n v="33.5"/>
    <n v="4620.3"/>
  </r>
  <r>
    <n v="283"/>
    <x v="3"/>
    <x v="38"/>
    <n v="6374"/>
    <n v="0"/>
    <n v="6374"/>
  </r>
  <r>
    <n v="284"/>
    <x v="3"/>
    <x v="39"/>
    <n v="17953.2"/>
    <n v="3247.3"/>
    <n v="21200.5"/>
  </r>
  <r>
    <n v="285"/>
    <x v="3"/>
    <x v="40"/>
    <n v="0"/>
    <n v="0"/>
    <n v="0"/>
  </r>
  <r>
    <n v="286"/>
    <x v="3"/>
    <x v="41"/>
    <n v="6024"/>
    <n v="90.3"/>
    <n v="6114.3"/>
  </r>
  <r>
    <n v="287"/>
    <x v="3"/>
    <x v="42"/>
    <n v="34938"/>
    <n v="3371.1000000000004"/>
    <n v="38309.1"/>
  </r>
  <r>
    <n v="288"/>
    <x v="3"/>
    <x v="10"/>
    <n v="0.12521315049876677"/>
    <n v="1.3106400912561014E-2"/>
    <n v="7.1440426496871531E-2"/>
  </r>
  <r>
    <n v="289"/>
    <x v="3"/>
    <x v="43"/>
    <n v="1611"/>
    <n v="40.200000000000003"/>
    <n v="1651.2"/>
  </r>
  <r>
    <n v="290"/>
    <x v="3"/>
    <x v="44"/>
    <n v="5423.5"/>
    <n v="3964.7"/>
    <n v="9388.2000000000007"/>
  </r>
  <r>
    <n v="291"/>
    <x v="3"/>
    <x v="45"/>
    <n v="6346.2"/>
    <n v="8277.1"/>
    <n v="14623.3"/>
  </r>
  <r>
    <n v="292"/>
    <x v="3"/>
    <x v="46"/>
    <n v="1406.8"/>
    <n v="26"/>
    <n v="1432.8"/>
  </r>
  <r>
    <n v="293"/>
    <x v="3"/>
    <x v="47"/>
    <n v="5722.6"/>
    <n v="4801.7"/>
    <n v="10524.3"/>
  </r>
  <r>
    <n v="294"/>
    <x v="3"/>
    <x v="48"/>
    <n v="0"/>
    <n v="0"/>
    <n v="0"/>
  </r>
  <r>
    <n v="295"/>
    <x v="3"/>
    <x v="49"/>
    <n v="3347.4"/>
    <n v="23.5"/>
    <n v="3370.9"/>
  </r>
  <r>
    <n v="296"/>
    <x v="3"/>
    <x v="50"/>
    <n v="14269.4"/>
    <n v="7547.9"/>
    <n v="21817.3"/>
  </r>
  <r>
    <n v="297"/>
    <x v="3"/>
    <x v="51"/>
    <n v="1567.1"/>
    <n v="132.4"/>
    <n v="1699.5"/>
  </r>
  <r>
    <n v="298"/>
    <x v="3"/>
    <x v="52"/>
    <n v="310.7"/>
    <n v="308"/>
    <n v="618.70000000000005"/>
  </r>
  <r>
    <n v="299"/>
    <x v="3"/>
    <x v="53"/>
    <n v="448.1"/>
    <n v="46.5"/>
    <n v="494.6"/>
  </r>
  <r>
    <n v="300"/>
    <x v="3"/>
    <x v="54"/>
    <n v="2240.8000000000002"/>
    <n v="383.1"/>
    <n v="2623.9"/>
  </r>
  <r>
    <n v="301"/>
    <x v="3"/>
    <x v="55"/>
    <n v="0"/>
    <n v="0"/>
    <n v="0"/>
  </r>
  <r>
    <n v="302"/>
    <x v="3"/>
    <x v="56"/>
    <n v="42693.599999999999"/>
    <n v="25551.1"/>
    <n v="68244.7"/>
  </r>
  <r>
    <n v="303"/>
    <x v="3"/>
    <x v="10"/>
    <n v="0.15300819056998538"/>
    <n v="9.9339373010868148E-2"/>
    <n v="0.12726559679426164"/>
  </r>
  <r>
    <n v="304"/>
    <x v="3"/>
    <x v="57"/>
    <n v="0"/>
    <n v="27818.3"/>
    <n v="27818.3"/>
  </r>
  <r>
    <n v="305"/>
    <x v="3"/>
    <x v="58"/>
    <n v="0"/>
    <n v="22514.2"/>
    <n v="22514.2"/>
  </r>
  <r>
    <n v="306"/>
    <x v="3"/>
    <x v="59"/>
    <n v="0"/>
    <n v="1422.1"/>
    <n v="1422.1"/>
  </r>
  <r>
    <n v="307"/>
    <x v="3"/>
    <x v="60"/>
    <n v="0"/>
    <n v="2120.8000000000002"/>
    <n v="2120.8000000000002"/>
  </r>
  <r>
    <n v="308"/>
    <x v="3"/>
    <x v="61"/>
    <n v="0"/>
    <n v="11040.3"/>
    <n v="11040.3"/>
  </r>
  <r>
    <n v="309"/>
    <x v="3"/>
    <x v="62"/>
    <n v="0"/>
    <n v="0"/>
    <n v="0"/>
  </r>
  <r>
    <n v="310"/>
    <x v="3"/>
    <x v="63"/>
    <n v="0"/>
    <n v="64915.7"/>
    <n v="64915.7"/>
  </r>
  <r>
    <n v="311"/>
    <x v="3"/>
    <x v="10"/>
    <n v="0"/>
    <n v="0.25238384791893947"/>
    <n v="0.12105753709544112"/>
  </r>
  <r>
    <n v="312"/>
    <x v="3"/>
    <x v="64"/>
    <n v="0"/>
    <n v="1107.9000000000001"/>
    <n v="1107.9000000000001"/>
  </r>
  <r>
    <n v="313"/>
    <x v="3"/>
    <x v="65"/>
    <n v="0"/>
    <n v="0"/>
    <n v="0"/>
  </r>
  <r>
    <n v="314"/>
    <x v="3"/>
    <x v="66"/>
    <n v="0"/>
    <n v="1107.9000000000001"/>
    <n v="1107.9000000000001"/>
  </r>
  <r>
    <n v="315"/>
    <x v="3"/>
    <x v="10"/>
    <n v="0"/>
    <n v="4.3073719471467316E-3"/>
    <n v="2.0660586783788704E-3"/>
  </r>
  <r>
    <n v="316"/>
    <x v="3"/>
    <x v="67"/>
    <n v="3078.3"/>
    <n v="0"/>
    <n v="3078.3"/>
  </r>
  <r>
    <n v="317"/>
    <x v="3"/>
    <x v="10"/>
    <n v="1.1032218248908175E-2"/>
    <n v="0"/>
    <n v="5.7405437581493609E-3"/>
  </r>
  <r>
    <n v="318"/>
    <x v="3"/>
    <x v="68"/>
    <n v="2697.4"/>
    <n v="680.2"/>
    <n v="3377.6000000000004"/>
  </r>
  <r>
    <n v="319"/>
    <x v="3"/>
    <x v="10"/>
    <n v="9.6671232513416208E-3"/>
    <n v="2.6445296492907363E-3"/>
    <n v="6.2986910299598093E-3"/>
  </r>
  <r>
    <n v="320"/>
    <x v="3"/>
    <x v="69"/>
    <n v="279028.2"/>
    <n v="257210.19999999998"/>
    <n v="536238.4"/>
  </r>
  <r>
    <n v="321"/>
    <x v="4"/>
    <x v="0"/>
    <n v="42417.363152559315"/>
    <n v="1521.2475400000001"/>
    <n v="43938.610692559312"/>
  </r>
  <r>
    <n v="322"/>
    <x v="4"/>
    <x v="1"/>
    <n v="1.8896729248131725"/>
    <n v="115.13603999999999"/>
    <n v="117.02571292481316"/>
  </r>
  <r>
    <n v="323"/>
    <x v="4"/>
    <x v="2"/>
    <n v="2474.4778549699199"/>
    <n v="2445.39788"/>
    <n v="4919.8757349699199"/>
  </r>
  <r>
    <n v="324"/>
    <x v="4"/>
    <x v="3"/>
    <n v="0"/>
    <n v="1067.5512800000001"/>
    <n v="1067.5512800000001"/>
  </r>
  <r>
    <n v="325"/>
    <x v="4"/>
    <x v="4"/>
    <n v="2521.9924754809795"/>
    <n v="5719.2160899999999"/>
    <n v="8241.2085654809798"/>
  </r>
  <r>
    <n v="326"/>
    <x v="4"/>
    <x v="5"/>
    <n v="0"/>
    <n v="1.5"/>
    <n v="1.5"/>
  </r>
  <r>
    <n v="327"/>
    <x v="4"/>
    <x v="6"/>
    <n v="0.12762999999999999"/>
    <n v="4729.96414"/>
    <n v="4730.09177"/>
  </r>
  <r>
    <n v="328"/>
    <x v="4"/>
    <x v="7"/>
    <n v="74.707745422559"/>
    <n v="3.9912299999999998"/>
    <n v="78.698975422559002"/>
  </r>
  <r>
    <n v="329"/>
    <x v="4"/>
    <x v="8"/>
    <n v="1032.1761201851236"/>
    <n v="983.76071999999999"/>
    <n v="2015.9368401851236"/>
  </r>
  <r>
    <n v="330"/>
    <x v="4"/>
    <x v="9"/>
    <n v="48522.734651542713"/>
    <n v="16587.764919999998"/>
    <n v="65110.499571542707"/>
  </r>
  <r>
    <n v="331"/>
    <x v="4"/>
    <x v="10"/>
    <n v="0.55260152391162931"/>
    <n v="0.24412401450399943"/>
    <n v="0.41802903266915464"/>
  </r>
  <r>
    <n v="332"/>
    <x v="4"/>
    <x v="11"/>
    <n v="0"/>
    <n v="0"/>
    <n v="0"/>
  </r>
  <r>
    <n v="333"/>
    <x v="4"/>
    <x v="12"/>
    <n v="0"/>
    <n v="1355.21632"/>
    <n v="1355.21632"/>
  </r>
  <r>
    <n v="334"/>
    <x v="4"/>
    <x v="13"/>
    <n v="0"/>
    <n v="13.8299"/>
    <n v="13.8299"/>
  </r>
  <r>
    <n v="335"/>
    <x v="4"/>
    <x v="14"/>
    <n v="131.5081110219225"/>
    <n v="31.65287"/>
    <n v="163.16098102192251"/>
  </r>
  <r>
    <n v="336"/>
    <x v="4"/>
    <x v="15"/>
    <n v="131.5081110219225"/>
    <n v="1400.6990899999998"/>
    <n v="1532.2072010219224"/>
  </r>
  <r>
    <n v="337"/>
    <x v="4"/>
    <x v="10"/>
    <n v="1.4976810989597352E-3"/>
    <n v="2.0614247103937063E-2"/>
    <n v="9.8372320640563518E-3"/>
  </r>
  <r>
    <n v="338"/>
    <x v="4"/>
    <x v="16"/>
    <n v="0"/>
    <n v="0"/>
    <n v="0"/>
  </r>
  <r>
    <n v="339"/>
    <x v="4"/>
    <x v="17"/>
    <n v="0"/>
    <n v="3495.64525"/>
    <n v="3495.64525"/>
  </r>
  <r>
    <n v="340"/>
    <x v="4"/>
    <x v="18"/>
    <n v="0"/>
    <n v="0"/>
    <n v="0"/>
  </r>
  <r>
    <n v="341"/>
    <x v="4"/>
    <x v="19"/>
    <n v="485.83560994198649"/>
    <n v="1368.0883200000001"/>
    <n v="1853.9239299419864"/>
  </r>
  <r>
    <n v="342"/>
    <x v="4"/>
    <x v="20"/>
    <n v="0"/>
    <n v="0"/>
    <n v="0"/>
  </r>
  <r>
    <n v="343"/>
    <x v="4"/>
    <x v="21"/>
    <n v="107.84179134976614"/>
    <n v="38.530650000000001"/>
    <n v="146.37244134976615"/>
  </r>
  <r>
    <n v="344"/>
    <x v="4"/>
    <x v="22"/>
    <n v="593.67740129175263"/>
    <n v="4902.26422"/>
    <n v="5495.9416212917531"/>
  </r>
  <r>
    <n v="345"/>
    <x v="4"/>
    <x v="10"/>
    <n v="6.7610994932926355E-3"/>
    <n v="7.2147177592490119E-2"/>
    <n v="3.5285601779637854E-2"/>
  </r>
  <r>
    <n v="346"/>
    <x v="4"/>
    <x v="23"/>
    <n v="2395.1333948257879"/>
    <n v="477.22826000000003"/>
    <n v="2872.3616548257878"/>
  </r>
  <r>
    <n v="347"/>
    <x v="4"/>
    <x v="24"/>
    <n v="1934.2193511200132"/>
    <n v="666.99655000000007"/>
    <n v="2601.2159011200133"/>
  </r>
  <r>
    <n v="348"/>
    <x v="4"/>
    <x v="25"/>
    <n v="0"/>
    <n v="0"/>
    <n v="0"/>
  </r>
  <r>
    <n v="349"/>
    <x v="4"/>
    <x v="26"/>
    <n v="0"/>
    <n v="0"/>
    <n v="0"/>
  </r>
  <r>
    <n v="350"/>
    <x v="4"/>
    <x v="27"/>
    <n v="1410.4662734563708"/>
    <n v="1640.81176"/>
    <n v="3051.2780334563708"/>
  </r>
  <r>
    <n v="351"/>
    <x v="4"/>
    <x v="28"/>
    <n v="5739.8190194021718"/>
    <n v="2785.0365700000002"/>
    <n v="8524.855589402172"/>
  </r>
  <r>
    <n v="352"/>
    <x v="4"/>
    <x v="10"/>
    <n v="6.5367971526677962E-2"/>
    <n v="4.0987698540934529E-2"/>
    <n v="5.4732142421459087E-2"/>
  </r>
  <r>
    <n v="353"/>
    <x v="4"/>
    <x v="29"/>
    <n v="269.61243428723787"/>
    <n v="1459.0062800000001"/>
    <n v="1728.6187142872379"/>
  </r>
  <r>
    <n v="354"/>
    <x v="4"/>
    <x v="30"/>
    <n v="11.613917121466304"/>
    <n v="470.09793999999999"/>
    <n v="481.71185712146632"/>
  </r>
  <r>
    <n v="355"/>
    <x v="4"/>
    <x v="31"/>
    <n v="574.47701997319632"/>
    <n v="19.977"/>
    <n v="594.4540199731963"/>
  </r>
  <r>
    <n v="356"/>
    <x v="4"/>
    <x v="32"/>
    <n v="849.44998797023788"/>
    <n v="92.540929999999989"/>
    <n v="941.99091797023789"/>
  </r>
  <r>
    <n v="357"/>
    <x v="4"/>
    <x v="33"/>
    <n v="3200.9574699999998"/>
    <n v="25335.220439999997"/>
    <n v="28536.177909999999"/>
  </r>
  <r>
    <n v="358"/>
    <x v="4"/>
    <x v="34"/>
    <n v="0"/>
    <n v="0"/>
    <n v="0"/>
  </r>
  <r>
    <n v="359"/>
    <x v="4"/>
    <x v="35"/>
    <n v="524.69932178296278"/>
    <n v="93.026880000000006"/>
    <n v="617.72620178296279"/>
  </r>
  <r>
    <n v="360"/>
    <x v="4"/>
    <x v="36"/>
    <n v="5430.8101511351015"/>
    <n v="27469.869469999998"/>
    <n v="32900.679621135103"/>
  </r>
  <r>
    <n v="361"/>
    <x v="4"/>
    <x v="10"/>
    <n v="6.1848821735701331E-2"/>
    <n v="0.40427717931013768"/>
    <n v="0.21123227999608185"/>
  </r>
  <r>
    <n v="362"/>
    <x v="4"/>
    <x v="37"/>
    <n v="4379.4817711167916"/>
    <n v="427.95143000000002"/>
    <n v="4807.4332011167917"/>
  </r>
  <r>
    <n v="363"/>
    <x v="4"/>
    <x v="38"/>
    <n v="1819.0962291934682"/>
    <n v="511.91111000000001"/>
    <n v="2331.0073391934684"/>
  </r>
  <r>
    <n v="364"/>
    <x v="4"/>
    <x v="39"/>
    <n v="2254.4131475587305"/>
    <n v="4502.6931100000002"/>
    <n v="6757.1062575587312"/>
  </r>
  <r>
    <n v="365"/>
    <x v="4"/>
    <x v="40"/>
    <n v="0"/>
    <n v="0"/>
    <n v="0"/>
  </r>
  <r>
    <n v="366"/>
    <x v="4"/>
    <x v="41"/>
    <n v="782.76133211979675"/>
    <n v="0"/>
    <n v="782.76133211979675"/>
  </r>
  <r>
    <n v="367"/>
    <x v="4"/>
    <x v="42"/>
    <n v="9235.7524799887869"/>
    <n v="5442.5556500000002"/>
    <n v="14678.308129988787"/>
  </r>
  <r>
    <n v="368"/>
    <x v="4"/>
    <x v="10"/>
    <n v="0.10518143570356558"/>
    <n v="8.0098707743166173E-2"/>
    <n v="9.4239162488023553E-2"/>
  </r>
  <r>
    <n v="369"/>
    <x v="4"/>
    <x v="43"/>
    <n v="503.50238354734881"/>
    <n v="9.6016399999999997"/>
    <n v="513.10402354734879"/>
  </r>
  <r>
    <n v="370"/>
    <x v="4"/>
    <x v="44"/>
    <n v="1861.7568384905924"/>
    <n v="428.98914000000002"/>
    <n v="2290.7459784905923"/>
  </r>
  <r>
    <n v="371"/>
    <x v="4"/>
    <x v="45"/>
    <n v="724.55973742442609"/>
    <n v="416.61803000000003"/>
    <n v="1141.1777674244261"/>
  </r>
  <r>
    <n v="372"/>
    <x v="4"/>
    <x v="46"/>
    <n v="314.08802207832593"/>
    <n v="0"/>
    <n v="314.08802207832593"/>
  </r>
  <r>
    <n v="373"/>
    <x v="4"/>
    <x v="47"/>
    <n v="3347.36922"/>
    <n v="2165.9174500000004"/>
    <n v="5513.2866700000004"/>
  </r>
  <r>
    <n v="374"/>
    <x v="4"/>
    <x v="48"/>
    <n v="0"/>
    <n v="0"/>
    <n v="0"/>
  </r>
  <r>
    <n v="375"/>
    <x v="4"/>
    <x v="49"/>
    <n v="2010.4600102882869"/>
    <n v="513.00265999999999"/>
    <n v="2523.462670288287"/>
  </r>
  <r>
    <n v="376"/>
    <x v="4"/>
    <x v="50"/>
    <n v="2321.9825700000001"/>
    <n v="597.99353000000008"/>
    <n v="2919.9761000000003"/>
  </r>
  <r>
    <n v="377"/>
    <x v="4"/>
    <x v="51"/>
    <n v="2008.1026537885903"/>
    <n v="351.19034000000005"/>
    <n v="2359.2929937885901"/>
  </r>
  <r>
    <n v="378"/>
    <x v="4"/>
    <x v="52"/>
    <n v="0"/>
    <n v="0"/>
    <n v="0"/>
  </r>
  <r>
    <n v="379"/>
    <x v="4"/>
    <x v="53"/>
    <n v="0"/>
    <n v="0"/>
    <n v="0"/>
  </r>
  <r>
    <n v="380"/>
    <x v="4"/>
    <x v="54"/>
    <n v="1.26"/>
    <n v="0"/>
    <n v="1.26"/>
  </r>
  <r>
    <n v="381"/>
    <x v="4"/>
    <x v="55"/>
    <n v="0"/>
    <n v="0"/>
    <n v="0"/>
  </r>
  <r>
    <n v="382"/>
    <x v="4"/>
    <x v="56"/>
    <n v="13093.081435617571"/>
    <n v="4483.3127900000009"/>
    <n v="17576.394225617572"/>
  </r>
  <r>
    <n v="383"/>
    <x v="4"/>
    <x v="10"/>
    <n v="0.14911065515948407"/>
    <n v="6.5981421960730716E-2"/>
    <n v="0.11284574875475098"/>
  </r>
  <r>
    <n v="384"/>
    <x v="4"/>
    <x v="57"/>
    <n v="0"/>
    <n v="0"/>
    <n v="0"/>
  </r>
  <r>
    <n v="385"/>
    <x v="4"/>
    <x v="58"/>
    <n v="7.8700000000000003E-3"/>
    <n v="0"/>
    <n v="7.8700000000000003E-3"/>
  </r>
  <r>
    <n v="386"/>
    <x v="4"/>
    <x v="59"/>
    <n v="3057.4202200000004"/>
    <n v="13.15255"/>
    <n v="3070.5727700000002"/>
  </r>
  <r>
    <n v="387"/>
    <x v="4"/>
    <x v="60"/>
    <n v="1.345"/>
    <n v="1323.9438500000001"/>
    <n v="1325.2888500000001"/>
  </r>
  <r>
    <n v="388"/>
    <x v="4"/>
    <x v="61"/>
    <n v="0"/>
    <n v="1940.7972"/>
    <n v="1940.7972"/>
  </r>
  <r>
    <n v="389"/>
    <x v="4"/>
    <x v="62"/>
    <n v="0"/>
    <n v="0"/>
    <n v="0"/>
  </r>
  <r>
    <n v="390"/>
    <x v="4"/>
    <x v="63"/>
    <n v="3058.7730900000001"/>
    <n v="3277.8936000000003"/>
    <n v="6336.66669"/>
  </r>
  <r>
    <n v="391"/>
    <x v="4"/>
    <x v="10"/>
    <n v="3.4834860050084654E-2"/>
    <n v="4.8241131255974366E-2"/>
    <n v="4.0683310129681315E-2"/>
  </r>
  <r>
    <n v="392"/>
    <x v="4"/>
    <x v="64"/>
    <n v="0"/>
    <n v="0"/>
    <n v="0"/>
  </r>
  <r>
    <n v="393"/>
    <x v="4"/>
    <x v="65"/>
    <n v="0"/>
    <n v="0"/>
    <n v="0"/>
  </r>
  <r>
    <n v="394"/>
    <x v="4"/>
    <x v="66"/>
    <n v="0"/>
    <n v="0"/>
    <n v="0"/>
  </r>
  <r>
    <n v="395"/>
    <x v="4"/>
    <x v="10"/>
    <n v="0"/>
    <n v="0"/>
    <n v="0"/>
  </r>
  <r>
    <n v="396"/>
    <x v="4"/>
    <x v="67"/>
    <n v="1072.5999999999999"/>
    <n v="1441.5059199999998"/>
    <n v="2514.10592"/>
  </r>
  <r>
    <n v="397"/>
    <x v="4"/>
    <x v="10"/>
    <n v="1.2215313065187451E-2"/>
    <n v="2.1214805841466015E-2"/>
    <n v="1.6141317800988479E-2"/>
  </r>
  <r>
    <n v="398"/>
    <x v="4"/>
    <x v="68"/>
    <n v="929.06277"/>
    <n v="157.20583999999999"/>
    <n v="1086.2686100000001"/>
  </r>
  <r>
    <n v="399"/>
    <x v="4"/>
    <x v="10"/>
    <n v="1.0580638255416974E-2"/>
    <n v="2.3136161471640519E-3"/>
    <n v="6.9741718961657808E-3"/>
  </r>
  <r>
    <n v="400"/>
    <x v="4"/>
    <x v="69"/>
    <n v="87807.81911000004"/>
    <n v="67948.108069999987"/>
    <n v="155755.92718000003"/>
  </r>
  <r>
    <n v="401"/>
    <x v="5"/>
    <x v="0"/>
    <n v="93853.1"/>
    <n v="5140"/>
    <n v="98993.1"/>
  </r>
  <r>
    <n v="402"/>
    <x v="5"/>
    <x v="1"/>
    <n v="0"/>
    <n v="0"/>
    <n v="0"/>
  </r>
  <r>
    <n v="403"/>
    <x v="5"/>
    <x v="2"/>
    <n v="0"/>
    <n v="0"/>
    <n v="0"/>
  </r>
  <r>
    <n v="404"/>
    <x v="5"/>
    <x v="3"/>
    <n v="6702.6"/>
    <n v="0"/>
    <n v="6702.6"/>
  </r>
  <r>
    <n v="405"/>
    <x v="5"/>
    <x v="4"/>
    <n v="7046.1"/>
    <n v="145.6"/>
    <n v="7191.7000000000007"/>
  </r>
  <r>
    <n v="406"/>
    <x v="5"/>
    <x v="5"/>
    <n v="454.9"/>
    <n v="2.4"/>
    <n v="457.29999999999995"/>
  </r>
  <r>
    <n v="407"/>
    <x v="5"/>
    <x v="6"/>
    <n v="2800.6"/>
    <n v="509.7"/>
    <n v="3310.2999999999997"/>
  </r>
  <r>
    <n v="408"/>
    <x v="5"/>
    <x v="7"/>
    <n v="9255.7999999999993"/>
    <n v="804.5"/>
    <n v="10060.299999999999"/>
  </r>
  <r>
    <n v="409"/>
    <x v="5"/>
    <x v="8"/>
    <n v="1974.4"/>
    <n v="748"/>
    <n v="2722.4"/>
  </r>
  <r>
    <n v="410"/>
    <x v="5"/>
    <x v="9"/>
    <n v="122087.50000000001"/>
    <n v="7350.2"/>
    <n v="129437.70000000001"/>
  </r>
  <r>
    <n v="411"/>
    <x v="5"/>
    <x v="10"/>
    <n v="0.48909146265738873"/>
    <n v="4.1859228114056748E-2"/>
    <n v="0.30440580196856037"/>
  </r>
  <r>
    <n v="412"/>
    <x v="5"/>
    <x v="11"/>
    <n v="224.7"/>
    <n v="2649.8"/>
    <n v="2874.5"/>
  </r>
  <r>
    <n v="413"/>
    <x v="5"/>
    <x v="12"/>
    <n v="378.6"/>
    <n v="10456.299999999999"/>
    <n v="10834.9"/>
  </r>
  <r>
    <n v="414"/>
    <x v="5"/>
    <x v="13"/>
    <n v="0"/>
    <n v="0"/>
    <n v="0"/>
  </r>
  <r>
    <n v="415"/>
    <x v="5"/>
    <x v="14"/>
    <n v="3362.6"/>
    <n v="988.6"/>
    <n v="4351.2"/>
  </r>
  <r>
    <n v="416"/>
    <x v="5"/>
    <x v="15"/>
    <n v="3965.8999999999996"/>
    <n v="14094.699999999999"/>
    <n v="18060.599999999999"/>
  </r>
  <r>
    <n v="417"/>
    <x v="5"/>
    <x v="10"/>
    <n v="1.5887685731569057E-2"/>
    <n v="8.02690079860678E-2"/>
    <n v="4.2474112465173443E-2"/>
  </r>
  <r>
    <n v="418"/>
    <x v="5"/>
    <x v="16"/>
    <n v="0"/>
    <n v="0"/>
    <n v="0"/>
  </r>
  <r>
    <n v="419"/>
    <x v="5"/>
    <x v="17"/>
    <n v="729.1"/>
    <n v="4779.1000000000004"/>
    <n v="5508.2000000000007"/>
  </r>
  <r>
    <n v="420"/>
    <x v="5"/>
    <x v="18"/>
    <n v="524.4"/>
    <n v="14719.3"/>
    <n v="15243.699999999999"/>
  </r>
  <r>
    <n v="421"/>
    <x v="5"/>
    <x v="19"/>
    <n v="429.5"/>
    <n v="565.9"/>
    <n v="995.4"/>
  </r>
  <r>
    <n v="422"/>
    <x v="5"/>
    <x v="20"/>
    <n v="0"/>
    <n v="0"/>
    <n v="0"/>
  </r>
  <r>
    <n v="423"/>
    <x v="5"/>
    <x v="21"/>
    <n v="288.89999999999998"/>
    <n v="1990"/>
    <n v="2278.9"/>
  </r>
  <r>
    <n v="424"/>
    <x v="5"/>
    <x v="22"/>
    <n v="1971.9"/>
    <n v="22054.300000000003"/>
    <n v="24026.200000000004"/>
  </r>
  <r>
    <n v="425"/>
    <x v="5"/>
    <x v="10"/>
    <n v="7.8995757568473823E-3"/>
    <n v="0.12559875576118226"/>
    <n v="5.650374411208655E-2"/>
  </r>
  <r>
    <n v="426"/>
    <x v="5"/>
    <x v="23"/>
    <n v="13747"/>
    <n v="634.1"/>
    <n v="14381.1"/>
  </r>
  <r>
    <n v="427"/>
    <x v="5"/>
    <x v="24"/>
    <n v="7944.2"/>
    <n v="146.4"/>
    <n v="8090.5999999999995"/>
  </r>
  <r>
    <n v="428"/>
    <x v="5"/>
    <x v="25"/>
    <n v="250.8"/>
    <n v="45.8"/>
    <n v="296.60000000000002"/>
  </r>
  <r>
    <n v="429"/>
    <x v="5"/>
    <x v="26"/>
    <n v="0"/>
    <n v="0"/>
    <n v="0"/>
  </r>
  <r>
    <n v="430"/>
    <x v="5"/>
    <x v="27"/>
    <n v="662.5"/>
    <n v="1785.6"/>
    <n v="2448.1"/>
  </r>
  <r>
    <n v="431"/>
    <x v="5"/>
    <x v="28"/>
    <n v="22604.5"/>
    <n v="2611.8999999999996"/>
    <n v="25216.400000000001"/>
  </r>
  <r>
    <n v="432"/>
    <x v="5"/>
    <x v="10"/>
    <n v="9.0555281807219751E-2"/>
    <n v="1.487471332903932E-2"/>
    <n v="5.9302803315880961E-2"/>
  </r>
  <r>
    <n v="433"/>
    <x v="5"/>
    <x v="29"/>
    <n v="1241.8"/>
    <n v="4039.5"/>
    <n v="5281.3"/>
  </r>
  <r>
    <n v="434"/>
    <x v="5"/>
    <x v="30"/>
    <n v="0"/>
    <n v="2566.6999999999998"/>
    <n v="2566.6999999999998"/>
  </r>
  <r>
    <n v="435"/>
    <x v="5"/>
    <x v="31"/>
    <n v="2718.6"/>
    <n v="554.20000000000005"/>
    <n v="3272.8"/>
  </r>
  <r>
    <n v="436"/>
    <x v="5"/>
    <x v="32"/>
    <n v="1214.5"/>
    <n v="92.1"/>
    <n v="1306.5999999999999"/>
  </r>
  <r>
    <n v="437"/>
    <x v="5"/>
    <x v="33"/>
    <n v="27813.200000000001"/>
    <n v="46550.6"/>
    <n v="74363.8"/>
  </r>
  <r>
    <n v="438"/>
    <x v="5"/>
    <x v="34"/>
    <n v="233.6"/>
    <n v="14214.3"/>
    <n v="14447.9"/>
  </r>
  <r>
    <n v="439"/>
    <x v="5"/>
    <x v="35"/>
    <n v="1051.8"/>
    <n v="3225.9"/>
    <n v="4277.7"/>
  </r>
  <r>
    <n v="440"/>
    <x v="5"/>
    <x v="36"/>
    <n v="34273.5"/>
    <n v="71243.299999999988"/>
    <n v="105516.79999999999"/>
  </r>
  <r>
    <n v="441"/>
    <x v="5"/>
    <x v="10"/>
    <n v="0.1373021500594902"/>
    <n v="0.40572903408045746"/>
    <n v="0.24814969769361001"/>
  </r>
  <r>
    <n v="442"/>
    <x v="5"/>
    <x v="37"/>
    <n v="7550"/>
    <n v="1215"/>
    <n v="8765"/>
  </r>
  <r>
    <n v="443"/>
    <x v="5"/>
    <x v="38"/>
    <n v="2304.1999999999998"/>
    <n v="4780.6000000000004"/>
    <n v="7084.8"/>
  </r>
  <r>
    <n v="444"/>
    <x v="5"/>
    <x v="39"/>
    <n v="14997.3"/>
    <n v="1807.3999999999999"/>
    <n v="16804.7"/>
  </r>
  <r>
    <n v="445"/>
    <x v="5"/>
    <x v="40"/>
    <n v="0"/>
    <n v="0"/>
    <n v="0"/>
  </r>
  <r>
    <n v="446"/>
    <x v="5"/>
    <x v="41"/>
    <n v="8164.2"/>
    <n v="526"/>
    <n v="8690.2000000000007"/>
  </r>
  <r>
    <n v="447"/>
    <x v="5"/>
    <x v="42"/>
    <n v="33015.699999999997"/>
    <n v="8329"/>
    <n v="41344.699999999997"/>
  </r>
  <r>
    <n v="448"/>
    <x v="5"/>
    <x v="10"/>
    <n v="0.13226331117974852"/>
    <n v="4.7433472689447718E-2"/>
    <n v="9.7232618940614177E-2"/>
  </r>
  <r>
    <n v="449"/>
    <x v="5"/>
    <x v="43"/>
    <n v="850.8"/>
    <n v="0"/>
    <n v="850.8"/>
  </r>
  <r>
    <n v="450"/>
    <x v="5"/>
    <x v="44"/>
    <n v="0"/>
    <n v="3123.1"/>
    <n v="3123.1"/>
  </r>
  <r>
    <n v="451"/>
    <x v="5"/>
    <x v="45"/>
    <n v="3440.7"/>
    <n v="6640"/>
    <n v="10080.700000000001"/>
  </r>
  <r>
    <n v="452"/>
    <x v="5"/>
    <x v="46"/>
    <n v="4504.5"/>
    <n v="5422.9"/>
    <n v="9927.4"/>
  </r>
  <r>
    <n v="453"/>
    <x v="5"/>
    <x v="47"/>
    <n v="6396.4"/>
    <n v="7814.3"/>
    <n v="14210.7"/>
  </r>
  <r>
    <n v="454"/>
    <x v="5"/>
    <x v="48"/>
    <n v="1737.5"/>
    <n v="0"/>
    <n v="1737.5"/>
  </r>
  <r>
    <n v="455"/>
    <x v="5"/>
    <x v="49"/>
    <n v="2052.1"/>
    <n v="2261.4"/>
    <n v="4313.5"/>
  </r>
  <r>
    <n v="456"/>
    <x v="5"/>
    <x v="50"/>
    <n v="3320.4"/>
    <n v="2621"/>
    <n v="5941.4"/>
  </r>
  <r>
    <n v="457"/>
    <x v="5"/>
    <x v="51"/>
    <n v="417.9"/>
    <n v="426.5"/>
    <n v="844.4"/>
  </r>
  <r>
    <n v="458"/>
    <x v="5"/>
    <x v="52"/>
    <n v="268.89999999999998"/>
    <n v="-592.4"/>
    <n v="-323.5"/>
  </r>
  <r>
    <n v="459"/>
    <x v="5"/>
    <x v="53"/>
    <n v="2350.4"/>
    <n v="0"/>
    <n v="2350.4"/>
  </r>
  <r>
    <n v="460"/>
    <x v="5"/>
    <x v="54"/>
    <n v="182.9"/>
    <n v="469.8"/>
    <n v="652.70000000000005"/>
  </r>
  <r>
    <n v="461"/>
    <x v="5"/>
    <x v="55"/>
    <n v="0"/>
    <n v="40"/>
    <n v="40"/>
  </r>
  <r>
    <n v="462"/>
    <x v="5"/>
    <x v="56"/>
    <n v="25522.500000000007"/>
    <n v="28226.6"/>
    <n v="53749.100000000006"/>
  </r>
  <r>
    <n v="463"/>
    <x v="5"/>
    <x v="10"/>
    <n v="0.10224500342519263"/>
    <n v="0.16074986915787789"/>
    <n v="0.12640473286058349"/>
  </r>
  <r>
    <n v="464"/>
    <x v="5"/>
    <x v="57"/>
    <n v="0"/>
    <n v="5567.3000000000011"/>
    <n v="5567.3000000000011"/>
  </r>
  <r>
    <n v="465"/>
    <x v="5"/>
    <x v="58"/>
    <n v="0"/>
    <n v="8007.1"/>
    <n v="8007.1"/>
  </r>
  <r>
    <n v="466"/>
    <x v="5"/>
    <x v="59"/>
    <n v="0"/>
    <n v="1914.5"/>
    <n v="1914.5"/>
  </r>
  <r>
    <n v="467"/>
    <x v="5"/>
    <x v="60"/>
    <n v="0"/>
    <n v="2683.3"/>
    <n v="2683.3"/>
  </r>
  <r>
    <n v="468"/>
    <x v="5"/>
    <x v="61"/>
    <n v="0"/>
    <n v="2216.6"/>
    <n v="2216.6"/>
  </r>
  <r>
    <n v="469"/>
    <x v="5"/>
    <x v="62"/>
    <n v="0"/>
    <n v="279.7"/>
    <n v="279.7"/>
  </r>
  <r>
    <n v="470"/>
    <x v="5"/>
    <x v="63"/>
    <n v="0"/>
    <n v="20668.5"/>
    <n v="20668.5"/>
  </r>
  <r>
    <n v="471"/>
    <x v="5"/>
    <x v="10"/>
    <n v="0"/>
    <n v="0.11770665509447115"/>
    <n v="4.8607255212254154E-2"/>
  </r>
  <r>
    <n v="472"/>
    <x v="5"/>
    <x v="64"/>
    <n v="374.8"/>
    <n v="340.5"/>
    <n v="715.3"/>
  </r>
  <r>
    <n v="473"/>
    <x v="5"/>
    <x v="65"/>
    <n v="0"/>
    <n v="0"/>
    <n v="0"/>
  </r>
  <r>
    <n v="474"/>
    <x v="5"/>
    <x v="66"/>
    <n v="374.8"/>
    <n v="340.5"/>
    <n v="715.3"/>
  </r>
  <r>
    <n v="475"/>
    <x v="5"/>
    <x v="10"/>
    <n v="1.5014762379767729E-3"/>
    <n v="1.9391400469152297E-3"/>
    <n v="1.6822105935759921E-3"/>
  </r>
  <r>
    <n v="476"/>
    <x v="5"/>
    <x v="67"/>
    <n v="3541.3"/>
    <n v="0"/>
    <n v="3541.3"/>
  </r>
  <r>
    <n v="477"/>
    <x v="5"/>
    <x v="10"/>
    <n v="1.4186707047884595E-2"/>
    <n v="0"/>
    <n v="8.3282711799673725E-3"/>
  </r>
  <r>
    <n v="478"/>
    <x v="5"/>
    <x v="68"/>
    <n v="2263.4"/>
    <n v="674.3"/>
    <n v="2937.7"/>
  </r>
  <r>
    <n v="479"/>
    <x v="5"/>
    <x v="10"/>
    <n v="9.0673460966825721E-3"/>
    <n v="3.8401237404844034E-3"/>
    <n v="6.908751657693544E-3"/>
  </r>
  <r>
    <n v="480"/>
    <x v="5"/>
    <x v="69"/>
    <n v="249620.99999999997"/>
    <n v="175593.3"/>
    <n v="425214.3"/>
  </r>
  <r>
    <n v="481"/>
    <x v="6"/>
    <x v="0"/>
    <n v="45450.2"/>
    <n v="1316.9"/>
    <n v="46767.1"/>
  </r>
  <r>
    <n v="482"/>
    <x v="6"/>
    <x v="1"/>
    <n v="1192.3"/>
    <n v="4467.5"/>
    <n v="5659.8"/>
  </r>
  <r>
    <n v="483"/>
    <x v="6"/>
    <x v="2"/>
    <n v="0"/>
    <n v="0"/>
    <n v="0"/>
  </r>
  <r>
    <n v="484"/>
    <x v="6"/>
    <x v="3"/>
    <n v="10331.200000000001"/>
    <n v="1526.2"/>
    <n v="11857.400000000001"/>
  </r>
  <r>
    <n v="485"/>
    <x v="6"/>
    <x v="4"/>
    <n v="4173.7"/>
    <n v="1006.9"/>
    <n v="5180.5999999999995"/>
  </r>
  <r>
    <n v="486"/>
    <x v="6"/>
    <x v="5"/>
    <n v="120.9"/>
    <n v="0"/>
    <n v="120.9"/>
  </r>
  <r>
    <n v="487"/>
    <x v="6"/>
    <x v="6"/>
    <n v="1308"/>
    <n v="268.89999999999998"/>
    <n v="1576.9"/>
  </r>
  <r>
    <n v="488"/>
    <x v="6"/>
    <x v="7"/>
    <n v="9011.1"/>
    <n v="167.5"/>
    <n v="9178.6"/>
  </r>
  <r>
    <n v="489"/>
    <x v="6"/>
    <x v="8"/>
    <n v="15402"/>
    <n v="1595.3"/>
    <n v="16997.3"/>
  </r>
  <r>
    <n v="490"/>
    <x v="6"/>
    <x v="9"/>
    <n v="86989.4"/>
    <n v="10349.199999999999"/>
    <n v="97338.599999999991"/>
  </r>
  <r>
    <n v="491"/>
    <x v="6"/>
    <x v="10"/>
    <n v="0.50376421425212581"/>
    <n v="5.8290081753230839E-2"/>
    <n v="0.277931377316259"/>
  </r>
  <r>
    <n v="492"/>
    <x v="6"/>
    <x v="11"/>
    <n v="1860.1"/>
    <n v="5717.8"/>
    <n v="7577.9"/>
  </r>
  <r>
    <n v="493"/>
    <x v="6"/>
    <x v="12"/>
    <n v="2476.5"/>
    <n v="7229.1"/>
    <n v="9705.6"/>
  </r>
  <r>
    <n v="494"/>
    <x v="6"/>
    <x v="13"/>
    <n v="0"/>
    <n v="0"/>
    <n v="0"/>
  </r>
  <r>
    <n v="495"/>
    <x v="6"/>
    <x v="14"/>
    <n v="2127.1999999999998"/>
    <n v="803.3"/>
    <n v="2930.5"/>
  </r>
  <r>
    <n v="496"/>
    <x v="6"/>
    <x v="15"/>
    <n v="6463.8"/>
    <n v="13750.2"/>
    <n v="20214"/>
  </r>
  <r>
    <n v="497"/>
    <x v="6"/>
    <x v="10"/>
    <n v="3.7432504742909954E-2"/>
    <n v="7.7445626920271599E-2"/>
    <n v="5.7717132371647627E-2"/>
  </r>
  <r>
    <n v="498"/>
    <x v="6"/>
    <x v="16"/>
    <n v="0"/>
    <n v="0"/>
    <n v="0"/>
  </r>
  <r>
    <n v="499"/>
    <x v="6"/>
    <x v="17"/>
    <n v="0"/>
    <n v="1346.9"/>
    <n v="1346.9"/>
  </r>
  <r>
    <n v="500"/>
    <x v="6"/>
    <x v="18"/>
    <n v="743.8"/>
    <n v="3565.1"/>
    <n v="4308.8999999999996"/>
  </r>
  <r>
    <n v="501"/>
    <x v="6"/>
    <x v="19"/>
    <n v="3639"/>
    <n v="20489.7"/>
    <n v="24128.7"/>
  </r>
  <r>
    <n v="502"/>
    <x v="6"/>
    <x v="20"/>
    <n v="0"/>
    <n v="0"/>
    <n v="0"/>
  </r>
  <r>
    <n v="503"/>
    <x v="6"/>
    <x v="21"/>
    <n v="0"/>
    <n v="208.5"/>
    <n v="208.5"/>
  </r>
  <r>
    <n v="504"/>
    <x v="6"/>
    <x v="22"/>
    <n v="4382.8"/>
    <n v="25610.2"/>
    <n v="29993"/>
  </r>
  <r>
    <n v="505"/>
    <x v="6"/>
    <x v="10"/>
    <n v="2.5381228037257612E-2"/>
    <n v="0.1442450287671117"/>
    <n v="8.5639158564501203E-2"/>
  </r>
  <r>
    <n v="506"/>
    <x v="6"/>
    <x v="23"/>
    <n v="5797.5"/>
    <n v="148.9"/>
    <n v="5946.4"/>
  </r>
  <r>
    <n v="507"/>
    <x v="6"/>
    <x v="24"/>
    <n v="6748.4"/>
    <n v="270.8"/>
    <n v="7019.2"/>
  </r>
  <r>
    <n v="508"/>
    <x v="6"/>
    <x v="25"/>
    <n v="114.8"/>
    <n v="10.6"/>
    <n v="125.39999999999999"/>
  </r>
  <r>
    <n v="509"/>
    <x v="6"/>
    <x v="26"/>
    <n v="0"/>
    <n v="0.6"/>
    <n v="0.6"/>
  </r>
  <r>
    <n v="510"/>
    <x v="6"/>
    <x v="27"/>
    <n v="1013"/>
    <n v="3678.6"/>
    <n v="4691.6000000000004"/>
  </r>
  <r>
    <n v="511"/>
    <x v="6"/>
    <x v="28"/>
    <n v="13673.699999999999"/>
    <n v="4109.5"/>
    <n v="17783.199999999997"/>
  </r>
  <r>
    <n v="512"/>
    <x v="6"/>
    <x v="10"/>
    <n v="7.9185748337375503E-2"/>
    <n v="2.314604906320316E-2"/>
    <n v="5.0776457326184021E-2"/>
  </r>
  <r>
    <n v="513"/>
    <x v="6"/>
    <x v="29"/>
    <n v="557.5"/>
    <n v="1462.2"/>
    <n v="2019.7"/>
  </r>
  <r>
    <n v="514"/>
    <x v="6"/>
    <x v="30"/>
    <n v="70"/>
    <n v="8205.2000000000007"/>
    <n v="8275.2000000000007"/>
  </r>
  <r>
    <n v="515"/>
    <x v="6"/>
    <x v="31"/>
    <n v="1193.9000000000001"/>
    <n v="151.1"/>
    <n v="1345"/>
  </r>
  <r>
    <n v="516"/>
    <x v="6"/>
    <x v="32"/>
    <n v="1157.9000000000001"/>
    <n v="624.29999999999995"/>
    <n v="1782.2"/>
  </r>
  <r>
    <n v="517"/>
    <x v="6"/>
    <x v="33"/>
    <n v="16466.7"/>
    <n v="44389"/>
    <n v="60855.7"/>
  </r>
  <r>
    <n v="518"/>
    <x v="6"/>
    <x v="34"/>
    <n v="956"/>
    <n v="17456"/>
    <n v="18412"/>
  </r>
  <r>
    <n v="519"/>
    <x v="6"/>
    <x v="35"/>
    <n v="1412.5"/>
    <n v="1605"/>
    <n v="3017.5"/>
  </r>
  <r>
    <n v="520"/>
    <x v="6"/>
    <x v="36"/>
    <n v="21814.5"/>
    <n v="73892.800000000003"/>
    <n v="95707.3"/>
  </r>
  <r>
    <n v="521"/>
    <x v="6"/>
    <x v="10"/>
    <n v="0.12632992585077032"/>
    <n v="0.41618843514234299"/>
    <n v="0.27327351850366038"/>
  </r>
  <r>
    <n v="522"/>
    <x v="6"/>
    <x v="37"/>
    <n v="1239.6000000000004"/>
    <n v="141.80000000000001"/>
    <n v="1381.4000000000003"/>
  </r>
  <r>
    <n v="523"/>
    <x v="6"/>
    <x v="38"/>
    <n v="647.09999999999991"/>
    <n v="1589.8"/>
    <n v="2236.8999999999996"/>
  </r>
  <r>
    <n v="524"/>
    <x v="6"/>
    <x v="39"/>
    <n v="1629.5"/>
    <n v="829.6"/>
    <n v="2459.1"/>
  </r>
  <r>
    <n v="525"/>
    <x v="6"/>
    <x v="40"/>
    <n v="36.299999999999997"/>
    <n v="3.1"/>
    <n v="39.4"/>
  </r>
  <r>
    <n v="526"/>
    <x v="6"/>
    <x v="41"/>
    <n v="4125.2"/>
    <n v="2083.6"/>
    <n v="6208.7999999999993"/>
  </r>
  <r>
    <n v="527"/>
    <x v="6"/>
    <x v="42"/>
    <n v="7677.7000000000007"/>
    <n v="4647.8999999999996"/>
    <n v="12325.6"/>
  </r>
  <r>
    <n v="528"/>
    <x v="6"/>
    <x v="10"/>
    <n v="4.4462319636226336E-2"/>
    <n v="2.6178494084648243E-2"/>
    <n v="3.5193345540713364E-2"/>
  </r>
  <r>
    <n v="529"/>
    <x v="6"/>
    <x v="43"/>
    <n v="728.2"/>
    <n v="783.2"/>
    <n v="1511.4"/>
  </r>
  <r>
    <n v="530"/>
    <x v="6"/>
    <x v="44"/>
    <n v="1466.8"/>
    <n v="3309.5"/>
    <n v="4776.3"/>
  </r>
  <r>
    <n v="531"/>
    <x v="6"/>
    <x v="45"/>
    <n v="2541.5"/>
    <n v="10450.6"/>
    <n v="12992.1"/>
  </r>
  <r>
    <n v="532"/>
    <x v="6"/>
    <x v="46"/>
    <n v="1321.5"/>
    <n v="709.9"/>
    <n v="2031.4"/>
  </r>
  <r>
    <n v="533"/>
    <x v="6"/>
    <x v="47"/>
    <n v="6600.1"/>
    <n v="4933.3"/>
    <n v="11533.400000000001"/>
  </r>
  <r>
    <n v="534"/>
    <x v="6"/>
    <x v="48"/>
    <n v="144.80000000000001"/>
    <n v="0"/>
    <n v="144.80000000000001"/>
  </r>
  <r>
    <n v="535"/>
    <x v="6"/>
    <x v="49"/>
    <n v="5674.6"/>
    <n v="86.2"/>
    <n v="5760.8"/>
  </r>
  <r>
    <n v="536"/>
    <x v="6"/>
    <x v="50"/>
    <n v="1331.7"/>
    <n v="2417.3000000000002"/>
    <n v="3749"/>
  </r>
  <r>
    <n v="537"/>
    <x v="6"/>
    <x v="51"/>
    <n v="2044.1"/>
    <n v="1100.7"/>
    <n v="3144.8"/>
  </r>
  <r>
    <n v="538"/>
    <x v="6"/>
    <x v="52"/>
    <n v="226.1"/>
    <n v="40.799999999999997"/>
    <n v="266.89999999999998"/>
  </r>
  <r>
    <n v="539"/>
    <x v="6"/>
    <x v="53"/>
    <n v="292.7"/>
    <n v="0"/>
    <n v="292.7"/>
  </r>
  <r>
    <n v="540"/>
    <x v="6"/>
    <x v="54"/>
    <n v="1153"/>
    <n v="285.60000000000002"/>
    <n v="1438.6"/>
  </r>
  <r>
    <n v="541"/>
    <x v="6"/>
    <x v="55"/>
    <n v="1419.2"/>
    <n v="135.30000000000001"/>
    <n v="1554.5"/>
  </r>
  <r>
    <n v="542"/>
    <x v="6"/>
    <x v="56"/>
    <n v="24944.3"/>
    <n v="24252.399999999998"/>
    <n v="49196.7"/>
  </r>
  <r>
    <n v="543"/>
    <x v="6"/>
    <x v="10"/>
    <n v="0.14445490702969904"/>
    <n v="0.13659745475129048"/>
    <n v="0.14047157643950908"/>
  </r>
  <r>
    <n v="544"/>
    <x v="6"/>
    <x v="57"/>
    <n v="0"/>
    <n v="14087.699999999999"/>
    <n v="14087.699999999999"/>
  </r>
  <r>
    <n v="545"/>
    <x v="6"/>
    <x v="58"/>
    <n v="0"/>
    <n v="851.1"/>
    <n v="851.1"/>
  </r>
  <r>
    <n v="546"/>
    <x v="6"/>
    <x v="59"/>
    <n v="0"/>
    <n v="169.5"/>
    <n v="169.5"/>
  </r>
  <r>
    <n v="547"/>
    <x v="6"/>
    <x v="60"/>
    <n v="0"/>
    <n v="1790.2"/>
    <n v="1790.2"/>
  </r>
  <r>
    <n v="548"/>
    <x v="6"/>
    <x v="61"/>
    <n v="0"/>
    <n v="2607.6999999999998"/>
    <n v="2607.6999999999998"/>
  </r>
  <r>
    <n v="549"/>
    <x v="6"/>
    <x v="62"/>
    <n v="0"/>
    <n v="0"/>
    <n v="0"/>
  </r>
  <r>
    <n v="550"/>
    <x v="6"/>
    <x v="63"/>
    <n v="0"/>
    <n v="19506.2"/>
    <n v="19506.2"/>
  </r>
  <r>
    <n v="551"/>
    <x v="6"/>
    <x v="10"/>
    <n v="0"/>
    <n v="0.1098653028924817"/>
    <n v="5.569614759413441E-2"/>
  </r>
  <r>
    <n v="552"/>
    <x v="6"/>
    <x v="64"/>
    <n v="0"/>
    <n v="291"/>
    <n v="291"/>
  </r>
  <r>
    <n v="553"/>
    <x v="6"/>
    <x v="65"/>
    <n v="0"/>
    <n v="0"/>
    <n v="0"/>
  </r>
  <r>
    <n v="554"/>
    <x v="6"/>
    <x v="66"/>
    <n v="0"/>
    <n v="291"/>
    <n v="291"/>
  </r>
  <r>
    <n v="555"/>
    <x v="6"/>
    <x v="10"/>
    <n v="0"/>
    <n v="1.639007245989079E-3"/>
    <n v="8.3089371327542589E-4"/>
  </r>
  <r>
    <n v="556"/>
    <x v="6"/>
    <x v="67"/>
    <n v="4939.6000000000004"/>
    <n v="905.8"/>
    <n v="5845.4000000000005"/>
  </r>
  <r>
    <n v="557"/>
    <x v="6"/>
    <x v="10"/>
    <n v="2.8605711876617163E-2"/>
    <n v="5.1017620735976203E-3"/>
    <n v="1.6690399008866579E-2"/>
  </r>
  <r>
    <n v="558"/>
    <x v="6"/>
    <x v="68"/>
    <n v="1793"/>
    <n v="231.3"/>
    <n v="2024.3"/>
  </r>
  <r>
    <n v="559"/>
    <x v="6"/>
    <x v="10"/>
    <n v="1.0383440237018093E-2"/>
    <n v="1.3027573058325566E-3"/>
    <n v="5.7799936212489505E-3"/>
  </r>
  <r>
    <n v="560"/>
    <x v="6"/>
    <x v="69"/>
    <n v="172678.80000000002"/>
    <n v="177546.5"/>
    <n v="350225.3"/>
  </r>
  <r>
    <n v="561"/>
    <x v="7"/>
    <x v="0"/>
    <n v="50628.5"/>
    <n v="3089.3999999999996"/>
    <n v="53717.9"/>
  </r>
  <r>
    <n v="562"/>
    <x v="7"/>
    <x v="1"/>
    <n v="0"/>
    <n v="0"/>
    <n v="0"/>
  </r>
  <r>
    <n v="563"/>
    <x v="7"/>
    <x v="2"/>
    <n v="773.2"/>
    <n v="25"/>
    <n v="798.2"/>
  </r>
  <r>
    <n v="564"/>
    <x v="7"/>
    <x v="3"/>
    <n v="10725.3"/>
    <n v="328.4"/>
    <n v="11053.699999999999"/>
  </r>
  <r>
    <n v="565"/>
    <x v="7"/>
    <x v="4"/>
    <n v="5622.1"/>
    <n v="1021.9"/>
    <n v="6644"/>
  </r>
  <r>
    <n v="566"/>
    <x v="7"/>
    <x v="5"/>
    <n v="0"/>
    <n v="0"/>
    <n v="0"/>
  </r>
  <r>
    <n v="567"/>
    <x v="7"/>
    <x v="6"/>
    <n v="2912.3"/>
    <n v="1175.5"/>
    <n v="4087.8"/>
  </r>
  <r>
    <n v="568"/>
    <x v="7"/>
    <x v="7"/>
    <n v="4393.5"/>
    <n v="100.4"/>
    <n v="4493.8999999999996"/>
  </r>
  <r>
    <n v="569"/>
    <x v="7"/>
    <x v="8"/>
    <n v="9910"/>
    <n v="3879.4"/>
    <n v="13789.4"/>
  </r>
  <r>
    <n v="570"/>
    <x v="7"/>
    <x v="9"/>
    <n v="84964.900000000009"/>
    <n v="9620"/>
    <n v="94584.900000000009"/>
  </r>
  <r>
    <n v="571"/>
    <x v="7"/>
    <x v="10"/>
    <n v="0.49771746204508133"/>
    <n v="5.7484142563063736E-2"/>
    <n v="0.27978764691196467"/>
  </r>
  <r>
    <n v="572"/>
    <x v="7"/>
    <x v="11"/>
    <n v="1656.7"/>
    <n v="1582.7"/>
    <n v="3239.4"/>
  </r>
  <r>
    <n v="573"/>
    <x v="7"/>
    <x v="12"/>
    <n v="182"/>
    <n v="2838.7"/>
    <n v="3020.7"/>
  </r>
  <r>
    <n v="574"/>
    <x v="7"/>
    <x v="13"/>
    <n v="0"/>
    <n v="0"/>
    <n v="0"/>
  </r>
  <r>
    <n v="575"/>
    <x v="7"/>
    <x v="14"/>
    <n v="1285.5999999999999"/>
    <n v="1716"/>
    <n v="3001.6"/>
  </r>
  <r>
    <n v="576"/>
    <x v="7"/>
    <x v="15"/>
    <n v="3124.3"/>
    <n v="6137.4"/>
    <n v="9261.7000000000007"/>
  </r>
  <r>
    <n v="577"/>
    <x v="7"/>
    <x v="10"/>
    <n v="1.8301894860906651E-2"/>
    <n v="3.6673926878019479E-2"/>
    <n v="2.7396648401642791E-2"/>
  </r>
  <r>
    <n v="578"/>
    <x v="7"/>
    <x v="16"/>
    <n v="0"/>
    <n v="0"/>
    <n v="0"/>
  </r>
  <r>
    <n v="579"/>
    <x v="7"/>
    <x v="17"/>
    <n v="703.7"/>
    <n v="1941.6"/>
    <n v="2645.3"/>
  </r>
  <r>
    <n v="580"/>
    <x v="7"/>
    <x v="18"/>
    <n v="0"/>
    <n v="271.10000000000002"/>
    <n v="271.10000000000002"/>
  </r>
  <r>
    <n v="581"/>
    <x v="7"/>
    <x v="19"/>
    <n v="1147.9000000000001"/>
    <n v="17717.8"/>
    <n v="18865.7"/>
  </r>
  <r>
    <n v="582"/>
    <x v="7"/>
    <x v="20"/>
    <n v="0"/>
    <n v="0"/>
    <n v="0"/>
  </r>
  <r>
    <n v="583"/>
    <x v="7"/>
    <x v="21"/>
    <n v="967.3"/>
    <n v="768.5"/>
    <n v="1735.8"/>
  </r>
  <r>
    <n v="584"/>
    <x v="7"/>
    <x v="22"/>
    <n v="2818.9"/>
    <n v="20699"/>
    <n v="23517.9"/>
  </r>
  <r>
    <n v="585"/>
    <x v="7"/>
    <x v="10"/>
    <n v="1.6512886542076548E-2"/>
    <n v="0.12368651423210565"/>
    <n v="6.9567318898797734E-2"/>
  </r>
  <r>
    <n v="586"/>
    <x v="7"/>
    <x v="23"/>
    <n v="8646"/>
    <n v="818.4"/>
    <n v="9464.4"/>
  </r>
  <r>
    <n v="587"/>
    <x v="7"/>
    <x v="24"/>
    <n v="3776.8"/>
    <n v="22.1"/>
    <n v="3798.9"/>
  </r>
  <r>
    <n v="588"/>
    <x v="7"/>
    <x v="25"/>
    <n v="0"/>
    <n v="0"/>
    <n v="0"/>
  </r>
  <r>
    <n v="589"/>
    <x v="7"/>
    <x v="26"/>
    <n v="1116.5"/>
    <n v="2727.9"/>
    <n v="3844.4"/>
  </r>
  <r>
    <n v="590"/>
    <x v="7"/>
    <x v="27"/>
    <n v="1087"/>
    <n v="3268.4"/>
    <n v="4355.3999999999996"/>
  </r>
  <r>
    <n v="591"/>
    <x v="7"/>
    <x v="28"/>
    <n v="14626.3"/>
    <n v="6836.8"/>
    <n v="21463.1"/>
  </r>
  <r>
    <n v="592"/>
    <x v="7"/>
    <x v="10"/>
    <n v="8.5679673784232926E-2"/>
    <n v="4.0853179404901685E-2"/>
    <n v="6.3489100738449669E-2"/>
  </r>
  <r>
    <n v="593"/>
    <x v="7"/>
    <x v="29"/>
    <n v="115.4"/>
    <n v="1814"/>
    <n v="1929.4"/>
  </r>
  <r>
    <n v="594"/>
    <x v="7"/>
    <x v="30"/>
    <n v="0"/>
    <n v="1403"/>
    <n v="1403"/>
  </r>
  <r>
    <n v="595"/>
    <x v="7"/>
    <x v="31"/>
    <n v="30.2"/>
    <n v="507.6"/>
    <n v="537.80000000000007"/>
  </r>
  <r>
    <n v="596"/>
    <x v="7"/>
    <x v="32"/>
    <n v="1537.8"/>
    <n v="14039.1"/>
    <n v="15576.9"/>
  </r>
  <r>
    <n v="597"/>
    <x v="7"/>
    <x v="33"/>
    <n v="21606"/>
    <n v="33658.800000000003"/>
    <n v="55264.800000000003"/>
  </r>
  <r>
    <n v="598"/>
    <x v="7"/>
    <x v="34"/>
    <n v="633.1"/>
    <n v="6635.6"/>
    <n v="7268.7000000000007"/>
  </r>
  <r>
    <n v="599"/>
    <x v="7"/>
    <x v="35"/>
    <n v="1928.5"/>
    <n v="526.9"/>
    <n v="2455.4"/>
  </r>
  <r>
    <n v="600"/>
    <x v="7"/>
    <x v="36"/>
    <n v="25851"/>
    <n v="58585"/>
    <n v="84436"/>
  </r>
  <r>
    <n v="601"/>
    <x v="7"/>
    <x v="10"/>
    <n v="0.15143305189940076"/>
    <n v="0.35007364782298223"/>
    <n v="0.24976660920145444"/>
  </r>
  <r>
    <n v="602"/>
    <x v="7"/>
    <x v="37"/>
    <n v="5355"/>
    <n v="10703.9"/>
    <n v="16058.9"/>
  </r>
  <r>
    <n v="603"/>
    <x v="7"/>
    <x v="38"/>
    <n v="2043"/>
    <n v="1103.0999999999999"/>
    <n v="3146.1"/>
  </r>
  <r>
    <n v="604"/>
    <x v="7"/>
    <x v="39"/>
    <n v="4340.7"/>
    <n v="1368.8"/>
    <n v="5709.5"/>
  </r>
  <r>
    <n v="605"/>
    <x v="7"/>
    <x v="40"/>
    <n v="0"/>
    <n v="0"/>
    <n v="0"/>
  </r>
  <r>
    <n v="606"/>
    <x v="7"/>
    <x v="41"/>
    <n v="3337.4"/>
    <n v="324.60000000000002"/>
    <n v="3662"/>
  </r>
  <r>
    <n v="607"/>
    <x v="7"/>
    <x v="42"/>
    <n v="15076.1"/>
    <n v="13500.4"/>
    <n v="28576.5"/>
  </r>
  <r>
    <n v="608"/>
    <x v="7"/>
    <x v="10"/>
    <n v="8.8314565538685386E-2"/>
    <n v="8.0671405224364418E-2"/>
    <n v="8.4530952530263895E-2"/>
  </r>
  <r>
    <n v="609"/>
    <x v="7"/>
    <x v="43"/>
    <n v="968.9"/>
    <n v="0"/>
    <n v="968.9"/>
  </r>
  <r>
    <n v="610"/>
    <x v="7"/>
    <x v="44"/>
    <n v="2432.1"/>
    <n v="308.7"/>
    <n v="2740.7999999999997"/>
  </r>
  <r>
    <n v="611"/>
    <x v="7"/>
    <x v="45"/>
    <n v="5063.3999999999996"/>
    <n v="2860.7"/>
    <n v="7924.0999999999995"/>
  </r>
  <r>
    <n v="612"/>
    <x v="7"/>
    <x v="46"/>
    <n v="1016"/>
    <n v="0"/>
    <n v="1016"/>
  </r>
  <r>
    <n v="613"/>
    <x v="7"/>
    <x v="47"/>
    <n v="4826.6000000000004"/>
    <n v="1953.1"/>
    <n v="6779.7000000000007"/>
  </r>
  <r>
    <n v="614"/>
    <x v="7"/>
    <x v="48"/>
    <n v="0"/>
    <n v="0"/>
    <n v="0"/>
  </r>
  <r>
    <n v="615"/>
    <x v="7"/>
    <x v="49"/>
    <n v="945.7"/>
    <n v="0"/>
    <n v="945.7"/>
  </r>
  <r>
    <n v="616"/>
    <x v="7"/>
    <x v="50"/>
    <n v="399.4"/>
    <n v="1763.8"/>
    <n v="2163.1999999999998"/>
  </r>
  <r>
    <n v="617"/>
    <x v="7"/>
    <x v="51"/>
    <n v="3963.9"/>
    <n v="89"/>
    <n v="4052.9"/>
  </r>
  <r>
    <n v="618"/>
    <x v="7"/>
    <x v="52"/>
    <n v="311"/>
    <n v="0"/>
    <n v="311"/>
  </r>
  <r>
    <n v="619"/>
    <x v="7"/>
    <x v="53"/>
    <n v="335.1"/>
    <n v="0"/>
    <n v="335.1"/>
  </r>
  <r>
    <n v="620"/>
    <x v="7"/>
    <x v="54"/>
    <n v="0"/>
    <n v="16.5"/>
    <n v="16.5"/>
  </r>
  <r>
    <n v="621"/>
    <x v="7"/>
    <x v="55"/>
    <n v="335.8"/>
    <n v="43.5"/>
    <n v="379.3"/>
  </r>
  <r>
    <n v="622"/>
    <x v="7"/>
    <x v="56"/>
    <n v="20597.899999999998"/>
    <n v="7035.3"/>
    <n v="27633.199999999997"/>
  </r>
  <r>
    <n v="623"/>
    <x v="7"/>
    <x v="10"/>
    <n v="0.12066082007344654"/>
    <n v="4.2039312699991928E-2"/>
    <n v="8.1740616151708162E-2"/>
  </r>
  <r>
    <n v="624"/>
    <x v="7"/>
    <x v="57"/>
    <n v="0"/>
    <n v="23355.5"/>
    <n v="23355.5"/>
  </r>
  <r>
    <n v="625"/>
    <x v="7"/>
    <x v="58"/>
    <n v="0"/>
    <n v="7713"/>
    <n v="7713"/>
  </r>
  <r>
    <n v="626"/>
    <x v="7"/>
    <x v="59"/>
    <n v="0"/>
    <n v="4139"/>
    <n v="4139"/>
  </r>
  <r>
    <n v="627"/>
    <x v="7"/>
    <x v="60"/>
    <n v="0"/>
    <n v="4529.3999999999996"/>
    <n v="4529.3999999999996"/>
  </r>
  <r>
    <n v="628"/>
    <x v="7"/>
    <x v="61"/>
    <n v="0"/>
    <n v="4144.6000000000004"/>
    <n v="4144.6000000000004"/>
  </r>
  <r>
    <n v="629"/>
    <x v="7"/>
    <x v="62"/>
    <n v="0"/>
    <n v="0"/>
    <n v="0"/>
  </r>
  <r>
    <n v="630"/>
    <x v="7"/>
    <x v="63"/>
    <n v="0"/>
    <n v="43881.5"/>
    <n v="43881.5"/>
  </r>
  <r>
    <n v="631"/>
    <x v="7"/>
    <x v="10"/>
    <n v="0"/>
    <n v="0.26221313948867792"/>
    <n v="0.12980403455485365"/>
  </r>
  <r>
    <n v="632"/>
    <x v="7"/>
    <x v="64"/>
    <n v="0"/>
    <n v="506.3"/>
    <n v="506.3"/>
  </r>
  <r>
    <n v="633"/>
    <x v="7"/>
    <x v="65"/>
    <n v="0"/>
    <n v="0"/>
    <n v="0"/>
  </r>
  <r>
    <n v="634"/>
    <x v="7"/>
    <x v="66"/>
    <n v="0"/>
    <n v="506.3"/>
    <n v="506.3"/>
  </r>
  <r>
    <n v="635"/>
    <x v="7"/>
    <x v="10"/>
    <n v="0"/>
    <n v="3.0253868378044878E-3"/>
    <n v="1.497664908791231E-3"/>
  </r>
  <r>
    <n v="636"/>
    <x v="7"/>
    <x v="67"/>
    <n v="1724.1"/>
    <n v="417.6"/>
    <n v="2141.6999999999998"/>
  </r>
  <r>
    <n v="637"/>
    <x v="7"/>
    <x v="10"/>
    <n v="1.0099637336263852E-2"/>
    <n v="2.4953615316356983E-3"/>
    <n v="6.3352734251593502E-3"/>
  </r>
  <r>
    <n v="638"/>
    <x v="7"/>
    <x v="68"/>
    <n v="1925.6"/>
    <n v="131.19999999999999"/>
    <n v="2056.7999999999997"/>
  </r>
  <r>
    <n v="639"/>
    <x v="7"/>
    <x v="10"/>
    <n v="1.1280007919905849E-2"/>
    <n v="7.8398331645259485E-4"/>
    <n v="6.0841342769144841E-3"/>
  </r>
  <r>
    <n v="640"/>
    <x v="7"/>
    <x v="69"/>
    <n v="170709.10000000003"/>
    <n v="167350.50000000003"/>
    <n v="338059.6"/>
  </r>
  <r>
    <n v="641"/>
    <x v="8"/>
    <x v="0"/>
    <n v="10326.6"/>
    <n v="26137.4"/>
    <n v="36464"/>
  </r>
  <r>
    <n v="642"/>
    <x v="8"/>
    <x v="1"/>
    <n v="0"/>
    <n v="0"/>
    <n v="0"/>
  </r>
  <r>
    <n v="643"/>
    <x v="8"/>
    <x v="2"/>
    <n v="732.7"/>
    <n v="5.7"/>
    <n v="738.40000000000009"/>
  </r>
  <r>
    <n v="644"/>
    <x v="8"/>
    <x v="3"/>
    <n v="4429.1000000000004"/>
    <n v="1387"/>
    <n v="5816.1"/>
  </r>
  <r>
    <n v="645"/>
    <x v="8"/>
    <x v="4"/>
    <n v="243.6"/>
    <n v="0"/>
    <n v="243.6"/>
  </r>
  <r>
    <n v="646"/>
    <x v="8"/>
    <x v="5"/>
    <n v="487.7"/>
    <n v="0"/>
    <n v="487.7"/>
  </r>
  <r>
    <n v="647"/>
    <x v="8"/>
    <x v="6"/>
    <n v="654.1"/>
    <n v="0"/>
    <n v="654.1"/>
  </r>
  <r>
    <n v="648"/>
    <x v="8"/>
    <x v="7"/>
    <n v="4858.1000000000004"/>
    <n v="3685.4"/>
    <n v="8543.5"/>
  </r>
  <r>
    <n v="649"/>
    <x v="8"/>
    <x v="8"/>
    <n v="4648.3999999999996"/>
    <n v="10677.7"/>
    <n v="15326.1"/>
  </r>
  <r>
    <n v="650"/>
    <x v="8"/>
    <x v="9"/>
    <n v="26380.300000000003"/>
    <n v="41893.200000000004"/>
    <n v="68273.5"/>
  </r>
  <r>
    <n v="651"/>
    <x v="8"/>
    <x v="10"/>
    <n v="0.48770851705388957"/>
    <n v="0.21951852141019793"/>
    <n v="0.27874516803875038"/>
  </r>
  <r>
    <n v="652"/>
    <x v="8"/>
    <x v="11"/>
    <n v="1315.7"/>
    <n v="600.9"/>
    <n v="1916.6"/>
  </r>
  <r>
    <n v="653"/>
    <x v="8"/>
    <x v="12"/>
    <n v="555.6"/>
    <n v="5824.6"/>
    <n v="6380.2000000000007"/>
  </r>
  <r>
    <n v="654"/>
    <x v="8"/>
    <x v="13"/>
    <n v="0"/>
    <n v="0"/>
    <n v="0"/>
  </r>
  <r>
    <n v="655"/>
    <x v="8"/>
    <x v="14"/>
    <n v="898"/>
    <n v="2189.4"/>
    <n v="3087.4"/>
  </r>
  <r>
    <n v="656"/>
    <x v="8"/>
    <x v="15"/>
    <n v="2769.3"/>
    <n v="8614.9"/>
    <n v="11384.2"/>
  </r>
  <r>
    <n v="657"/>
    <x v="8"/>
    <x v="10"/>
    <n v="5.1197719369276931E-2"/>
    <n v="4.5141696268050993E-2"/>
    <n v="4.64790986544815E-2"/>
  </r>
  <r>
    <n v="658"/>
    <x v="8"/>
    <x v="16"/>
    <n v="0"/>
    <n v="0"/>
    <n v="0"/>
  </r>
  <r>
    <n v="659"/>
    <x v="8"/>
    <x v="17"/>
    <n v="40.1"/>
    <n v="4116.8"/>
    <n v="4156.9000000000005"/>
  </r>
  <r>
    <n v="660"/>
    <x v="8"/>
    <x v="18"/>
    <n v="0"/>
    <n v="0"/>
    <n v="0"/>
  </r>
  <r>
    <n v="661"/>
    <x v="8"/>
    <x v="19"/>
    <n v="1551.8"/>
    <n v="18482.7"/>
    <n v="20034.5"/>
  </r>
  <r>
    <n v="662"/>
    <x v="8"/>
    <x v="20"/>
    <n v="0"/>
    <n v="0"/>
    <n v="0"/>
  </r>
  <r>
    <n v="663"/>
    <x v="8"/>
    <x v="21"/>
    <n v="744.1"/>
    <n v="2704.6"/>
    <n v="3448.7"/>
  </r>
  <r>
    <n v="664"/>
    <x v="8"/>
    <x v="22"/>
    <n v="2336"/>
    <n v="25304.1"/>
    <n v="27640.1"/>
  </r>
  <r>
    <n v="665"/>
    <x v="8"/>
    <x v="10"/>
    <n v="4.3187040929704587E-2"/>
    <n v="0.13259236863299506"/>
    <n v="0.11284824008008766"/>
  </r>
  <r>
    <n v="666"/>
    <x v="8"/>
    <x v="23"/>
    <n v="331.3"/>
    <n v="0"/>
    <n v="331.3"/>
  </r>
  <r>
    <n v="667"/>
    <x v="8"/>
    <x v="24"/>
    <n v="1895"/>
    <n v="3.7"/>
    <n v="1898.7"/>
  </r>
  <r>
    <n v="668"/>
    <x v="8"/>
    <x v="25"/>
    <n v="0"/>
    <n v="0"/>
    <n v="0"/>
  </r>
  <r>
    <n v="669"/>
    <x v="8"/>
    <x v="26"/>
    <n v="2104.1"/>
    <n v="92859.599999999991"/>
    <n v="94963.7"/>
  </r>
  <r>
    <n v="670"/>
    <x v="8"/>
    <x v="27"/>
    <n v="2567.8000000000002"/>
    <n v="2734.5"/>
    <n v="5302.3"/>
  </r>
  <r>
    <n v="671"/>
    <x v="8"/>
    <x v="28"/>
    <n v="6898.2"/>
    <n v="95597.799999999988"/>
    <n v="102495.99999999999"/>
  </r>
  <r>
    <n v="672"/>
    <x v="8"/>
    <x v="10"/>
    <n v="0.12753118396459254"/>
    <n v="0.50092825819149212"/>
    <n v="0.41846784979969909"/>
  </r>
  <r>
    <n v="673"/>
    <x v="8"/>
    <x v="29"/>
    <n v="0"/>
    <n v="0"/>
    <n v="0"/>
  </r>
  <r>
    <n v="674"/>
    <x v="8"/>
    <x v="30"/>
    <n v="0"/>
    <n v="105.6"/>
    <n v="105.6"/>
  </r>
  <r>
    <n v="675"/>
    <x v="8"/>
    <x v="31"/>
    <n v="204.5"/>
    <n v="0"/>
    <n v="204.5"/>
  </r>
  <r>
    <n v="676"/>
    <x v="8"/>
    <x v="32"/>
    <n v="154"/>
    <n v="0"/>
    <n v="154"/>
  </r>
  <r>
    <n v="677"/>
    <x v="8"/>
    <x v="33"/>
    <n v="695.5"/>
    <n v="446.2"/>
    <n v="1141.7"/>
  </r>
  <r>
    <n v="678"/>
    <x v="8"/>
    <x v="34"/>
    <n v="0"/>
    <n v="0"/>
    <n v="0"/>
  </r>
  <r>
    <n v="679"/>
    <x v="8"/>
    <x v="35"/>
    <n v="683"/>
    <n v="53.5"/>
    <n v="736.5"/>
  </r>
  <r>
    <n v="680"/>
    <x v="8"/>
    <x v="36"/>
    <n v="1737"/>
    <n v="605.29999999999995"/>
    <n v="2342.3000000000002"/>
  </r>
  <r>
    <n v="681"/>
    <x v="8"/>
    <x v="10"/>
    <n v="3.2112966650212696E-2"/>
    <n v="3.1717453192783743E-3"/>
    <n v="9.5630780185161895E-3"/>
  </r>
  <r>
    <n v="682"/>
    <x v="8"/>
    <x v="37"/>
    <n v="349.9"/>
    <n v="112.7"/>
    <n v="462.59999999999997"/>
  </r>
  <r>
    <n v="683"/>
    <x v="8"/>
    <x v="38"/>
    <n v="1807.1"/>
    <n v="35.9"/>
    <n v="1843"/>
  </r>
  <r>
    <n v="684"/>
    <x v="8"/>
    <x v="39"/>
    <n v="2768.8"/>
    <n v="44.3"/>
    <n v="2813.1000000000004"/>
  </r>
  <r>
    <n v="685"/>
    <x v="8"/>
    <x v="40"/>
    <n v="0"/>
    <n v="0"/>
    <n v="0"/>
  </r>
  <r>
    <n v="686"/>
    <x v="8"/>
    <x v="41"/>
    <n v="1142.8"/>
    <n v="185.1"/>
    <n v="1327.8999999999999"/>
  </r>
  <r>
    <n v="687"/>
    <x v="8"/>
    <x v="42"/>
    <n v="6068.6"/>
    <n v="378"/>
    <n v="6446.6"/>
  </r>
  <r>
    <n v="688"/>
    <x v="8"/>
    <x v="10"/>
    <n v="0.11219386840154334"/>
    <n v="1.980703338323518E-3"/>
    <n v="2.6320001175838478E-2"/>
  </r>
  <r>
    <n v="689"/>
    <x v="8"/>
    <x v="43"/>
    <n v="476.1"/>
    <n v="0"/>
    <n v="476.1"/>
  </r>
  <r>
    <n v="690"/>
    <x v="8"/>
    <x v="44"/>
    <n v="297.10000000000002"/>
    <n v="258.60000000000002"/>
    <n v="555.70000000000005"/>
  </r>
  <r>
    <n v="691"/>
    <x v="8"/>
    <x v="45"/>
    <n v="2059"/>
    <n v="872.6"/>
    <n v="2931.6"/>
  </r>
  <r>
    <n v="692"/>
    <x v="8"/>
    <x v="46"/>
    <n v="281.7"/>
    <n v="56.6"/>
    <n v="338.3"/>
  </r>
  <r>
    <n v="693"/>
    <x v="8"/>
    <x v="47"/>
    <n v="2119.9"/>
    <n v="414.7"/>
    <n v="2534.6"/>
  </r>
  <r>
    <n v="694"/>
    <x v="8"/>
    <x v="48"/>
    <n v="28.6"/>
    <n v="195.2"/>
    <n v="223.79999999999998"/>
  </r>
  <r>
    <n v="695"/>
    <x v="8"/>
    <x v="49"/>
    <n v="0"/>
    <n v="0"/>
    <n v="0"/>
  </r>
  <r>
    <n v="696"/>
    <x v="8"/>
    <x v="50"/>
    <n v="88.9"/>
    <n v="21.9"/>
    <n v="110.80000000000001"/>
  </r>
  <r>
    <n v="697"/>
    <x v="8"/>
    <x v="51"/>
    <n v="762.1"/>
    <n v="0"/>
    <n v="762.1"/>
  </r>
  <r>
    <n v="698"/>
    <x v="8"/>
    <x v="52"/>
    <n v="0"/>
    <n v="0"/>
    <n v="0"/>
  </r>
  <r>
    <n v="699"/>
    <x v="8"/>
    <x v="53"/>
    <n v="9.1999999999999993"/>
    <n v="0"/>
    <n v="9.1999999999999993"/>
  </r>
  <r>
    <n v="700"/>
    <x v="8"/>
    <x v="54"/>
    <n v="569.5"/>
    <n v="13210.4"/>
    <n v="13779.9"/>
  </r>
  <r>
    <n v="701"/>
    <x v="8"/>
    <x v="55"/>
    <n v="0"/>
    <n v="0"/>
    <n v="0"/>
  </r>
  <r>
    <n v="702"/>
    <x v="8"/>
    <x v="56"/>
    <n v="6692.0999999999995"/>
    <n v="15030"/>
    <n v="21722.1"/>
  </r>
  <r>
    <n v="703"/>
    <x v="8"/>
    <x v="10"/>
    <n v="0.12372088895790925"/>
    <n v="7.8756537500006552E-2"/>
    <n v="8.8686392445891007E-2"/>
  </r>
  <r>
    <n v="704"/>
    <x v="8"/>
    <x v="57"/>
    <n v="0"/>
    <n v="0"/>
    <n v="0"/>
  </r>
  <r>
    <n v="705"/>
    <x v="8"/>
    <x v="58"/>
    <n v="0"/>
    <n v="0"/>
    <n v="0"/>
  </r>
  <r>
    <n v="706"/>
    <x v="8"/>
    <x v="59"/>
    <n v="0"/>
    <n v="0"/>
    <n v="0"/>
  </r>
  <r>
    <n v="707"/>
    <x v="8"/>
    <x v="60"/>
    <n v="0"/>
    <n v="0"/>
    <n v="0"/>
  </r>
  <r>
    <n v="708"/>
    <x v="8"/>
    <x v="61"/>
    <n v="0"/>
    <n v="0"/>
    <n v="0"/>
  </r>
  <r>
    <n v="709"/>
    <x v="8"/>
    <x v="62"/>
    <n v="0"/>
    <n v="0"/>
    <n v="0"/>
  </r>
  <r>
    <n v="710"/>
    <x v="8"/>
    <x v="63"/>
    <n v="0"/>
    <n v="0"/>
    <n v="0"/>
  </r>
  <r>
    <n v="711"/>
    <x v="8"/>
    <x v="10"/>
    <n v="0"/>
    <n v="0"/>
    <n v="0"/>
  </r>
  <r>
    <n v="712"/>
    <x v="8"/>
    <x v="64"/>
    <n v="0"/>
    <n v="0"/>
    <n v="0"/>
  </r>
  <r>
    <n v="713"/>
    <x v="8"/>
    <x v="65"/>
    <n v="0"/>
    <n v="0"/>
    <n v="0"/>
  </r>
  <r>
    <n v="714"/>
    <x v="8"/>
    <x v="66"/>
    <n v="0"/>
    <n v="0"/>
    <n v="0"/>
  </r>
  <r>
    <n v="715"/>
    <x v="8"/>
    <x v="10"/>
    <n v="0"/>
    <n v="0"/>
    <n v="0"/>
  </r>
  <r>
    <n v="716"/>
    <x v="8"/>
    <x v="67"/>
    <n v="591.4"/>
    <n v="1583.8"/>
    <n v="2175.1999999999998"/>
  </r>
  <r>
    <n v="717"/>
    <x v="8"/>
    <x v="10"/>
    <n v="1.0933568495645245E-2"/>
    <n v="8.2990421884571106E-3"/>
    <n v="8.8808467343535896E-3"/>
  </r>
  <r>
    <n v="718"/>
    <x v="8"/>
    <x v="68"/>
    <n v="617.4"/>
    <n v="1834.2"/>
    <n v="2451.6"/>
  </r>
  <r>
    <n v="719"/>
    <x v="8"/>
    <x v="10"/>
    <n v="1.141424617722586E-2"/>
    <n v="9.611127151198405E-3"/>
    <n v="1.000932505238197E-2"/>
  </r>
  <r>
    <n v="720"/>
    <x v="8"/>
    <x v="69"/>
    <n v="54090.3"/>
    <n v="190841.3"/>
    <n v="244931.6"/>
  </r>
  <r>
    <n v="721"/>
    <x v="9"/>
    <x v="0"/>
    <n v="0"/>
    <n v="0"/>
    <n v="0"/>
  </r>
  <r>
    <n v="722"/>
    <x v="9"/>
    <x v="1"/>
    <n v="0"/>
    <n v="0"/>
    <n v="0"/>
  </r>
  <r>
    <n v="723"/>
    <x v="9"/>
    <x v="2"/>
    <n v="0"/>
    <n v="0"/>
    <n v="0"/>
  </r>
  <r>
    <n v="724"/>
    <x v="9"/>
    <x v="3"/>
    <n v="0"/>
    <n v="0"/>
    <n v="0"/>
  </r>
  <r>
    <n v="725"/>
    <x v="9"/>
    <x v="4"/>
    <n v="0"/>
    <n v="0"/>
    <n v="0"/>
  </r>
  <r>
    <n v="726"/>
    <x v="9"/>
    <x v="5"/>
    <n v="0"/>
    <n v="0"/>
    <n v="0"/>
  </r>
  <r>
    <n v="727"/>
    <x v="9"/>
    <x v="6"/>
    <n v="0"/>
    <n v="0"/>
    <n v="0"/>
  </r>
  <r>
    <n v="728"/>
    <x v="9"/>
    <x v="7"/>
    <n v="0"/>
    <n v="0"/>
    <n v="0"/>
  </r>
  <r>
    <n v="729"/>
    <x v="9"/>
    <x v="8"/>
    <n v="0"/>
    <n v="0"/>
    <n v="0"/>
  </r>
  <r>
    <n v="730"/>
    <x v="9"/>
    <x v="9"/>
    <n v="0"/>
    <n v="0"/>
    <n v="0"/>
  </r>
  <r>
    <n v="731"/>
    <x v="9"/>
    <x v="10"/>
    <n v="0"/>
    <n v="0"/>
    <n v="0"/>
  </r>
  <r>
    <n v="732"/>
    <x v="9"/>
    <x v="11"/>
    <n v="0"/>
    <n v="0"/>
    <n v="0"/>
  </r>
  <r>
    <n v="733"/>
    <x v="9"/>
    <x v="12"/>
    <n v="0"/>
    <n v="0"/>
    <n v="0"/>
  </r>
  <r>
    <n v="734"/>
    <x v="9"/>
    <x v="13"/>
    <n v="0"/>
    <n v="0"/>
    <n v="0"/>
  </r>
  <r>
    <n v="735"/>
    <x v="9"/>
    <x v="14"/>
    <n v="0"/>
    <n v="0"/>
    <n v="0"/>
  </r>
  <r>
    <n v="736"/>
    <x v="9"/>
    <x v="15"/>
    <n v="0"/>
    <n v="0"/>
    <n v="0"/>
  </r>
  <r>
    <n v="737"/>
    <x v="9"/>
    <x v="10"/>
    <n v="0"/>
    <n v="0"/>
    <n v="0"/>
  </r>
  <r>
    <n v="738"/>
    <x v="9"/>
    <x v="16"/>
    <n v="0"/>
    <n v="0"/>
    <n v="0"/>
  </r>
  <r>
    <n v="739"/>
    <x v="9"/>
    <x v="17"/>
    <n v="0"/>
    <n v="0"/>
    <n v="0"/>
  </r>
  <r>
    <n v="740"/>
    <x v="9"/>
    <x v="18"/>
    <n v="0"/>
    <n v="0"/>
    <n v="0"/>
  </r>
  <r>
    <n v="741"/>
    <x v="9"/>
    <x v="19"/>
    <n v="0"/>
    <n v="0"/>
    <n v="0"/>
  </r>
  <r>
    <n v="742"/>
    <x v="9"/>
    <x v="20"/>
    <n v="0"/>
    <n v="0"/>
    <n v="0"/>
  </r>
  <r>
    <n v="743"/>
    <x v="9"/>
    <x v="21"/>
    <n v="0"/>
    <n v="0"/>
    <n v="0"/>
  </r>
  <r>
    <n v="744"/>
    <x v="9"/>
    <x v="22"/>
    <n v="0"/>
    <n v="0"/>
    <n v="0"/>
  </r>
  <r>
    <n v="745"/>
    <x v="9"/>
    <x v="10"/>
    <n v="0"/>
    <n v="0"/>
    <n v="0"/>
  </r>
  <r>
    <n v="746"/>
    <x v="9"/>
    <x v="23"/>
    <n v="0"/>
    <n v="0"/>
    <n v="0"/>
  </r>
  <r>
    <n v="747"/>
    <x v="9"/>
    <x v="24"/>
    <n v="0"/>
    <n v="0"/>
    <n v="0"/>
  </r>
  <r>
    <n v="748"/>
    <x v="9"/>
    <x v="25"/>
    <n v="0"/>
    <n v="0"/>
    <n v="0"/>
  </r>
  <r>
    <n v="749"/>
    <x v="9"/>
    <x v="26"/>
    <n v="0"/>
    <n v="0"/>
    <n v="0"/>
  </r>
  <r>
    <n v="750"/>
    <x v="9"/>
    <x v="27"/>
    <n v="0"/>
    <n v="0"/>
    <n v="0"/>
  </r>
  <r>
    <n v="751"/>
    <x v="9"/>
    <x v="28"/>
    <n v="0"/>
    <n v="0"/>
    <n v="0"/>
  </r>
  <r>
    <n v="752"/>
    <x v="9"/>
    <x v="10"/>
    <n v="0"/>
    <n v="0"/>
    <n v="0"/>
  </r>
  <r>
    <n v="753"/>
    <x v="9"/>
    <x v="29"/>
    <n v="0"/>
    <n v="0"/>
    <n v="0"/>
  </r>
  <r>
    <n v="754"/>
    <x v="9"/>
    <x v="30"/>
    <n v="0"/>
    <n v="0"/>
    <n v="0"/>
  </r>
  <r>
    <n v="755"/>
    <x v="9"/>
    <x v="31"/>
    <n v="0"/>
    <n v="0"/>
    <n v="0"/>
  </r>
  <r>
    <n v="756"/>
    <x v="9"/>
    <x v="32"/>
    <n v="0"/>
    <n v="0"/>
    <n v="0"/>
  </r>
  <r>
    <n v="757"/>
    <x v="9"/>
    <x v="33"/>
    <n v="0"/>
    <n v="0"/>
    <n v="0"/>
  </r>
  <r>
    <n v="758"/>
    <x v="9"/>
    <x v="34"/>
    <n v="0"/>
    <n v="0"/>
    <n v="0"/>
  </r>
  <r>
    <n v="759"/>
    <x v="9"/>
    <x v="35"/>
    <n v="0"/>
    <n v="0"/>
    <n v="0"/>
  </r>
  <r>
    <n v="760"/>
    <x v="9"/>
    <x v="36"/>
    <n v="0"/>
    <n v="0"/>
    <n v="0"/>
  </r>
  <r>
    <n v="761"/>
    <x v="9"/>
    <x v="10"/>
    <n v="0"/>
    <n v="0"/>
    <n v="0"/>
  </r>
  <r>
    <n v="762"/>
    <x v="9"/>
    <x v="37"/>
    <n v="997.798"/>
    <n v="230.732"/>
    <n v="1228.53"/>
  </r>
  <r>
    <n v="763"/>
    <x v="9"/>
    <x v="38"/>
    <n v="264.69600000000003"/>
    <n v="528.33699999999999"/>
    <n v="793.03300000000002"/>
  </r>
  <r>
    <n v="764"/>
    <x v="9"/>
    <x v="39"/>
    <n v="728.42200000000003"/>
    <n v="746.51499999999999"/>
    <n v="1474.9369999999999"/>
  </r>
  <r>
    <n v="765"/>
    <x v="9"/>
    <x v="40"/>
    <n v="0"/>
    <n v="0"/>
    <n v="0"/>
  </r>
  <r>
    <n v="766"/>
    <x v="9"/>
    <x v="41"/>
    <n v="0"/>
    <n v="0"/>
    <n v="0"/>
  </r>
  <r>
    <n v="767"/>
    <x v="9"/>
    <x v="42"/>
    <n v="1990.9160000000002"/>
    <n v="1505.5839999999998"/>
    <n v="3496.5"/>
  </r>
  <r>
    <n v="768"/>
    <x v="9"/>
    <x v="10"/>
    <n v="0.96884480213028323"/>
    <n v="1"/>
    <n v="0.98201892868517593"/>
  </r>
  <r>
    <n v="769"/>
    <x v="9"/>
    <x v="43"/>
    <n v="0"/>
    <n v="0"/>
    <n v="0"/>
  </r>
  <r>
    <n v="770"/>
    <x v="9"/>
    <x v="44"/>
    <n v="0"/>
    <n v="0"/>
    <n v="0"/>
  </r>
  <r>
    <n v="771"/>
    <x v="9"/>
    <x v="45"/>
    <n v="0"/>
    <n v="0"/>
    <n v="0"/>
  </r>
  <r>
    <n v="772"/>
    <x v="9"/>
    <x v="46"/>
    <n v="0"/>
    <n v="0"/>
    <n v="0"/>
  </r>
  <r>
    <n v="773"/>
    <x v="9"/>
    <x v="47"/>
    <n v="0"/>
    <n v="0"/>
    <n v="0"/>
  </r>
  <r>
    <n v="774"/>
    <x v="9"/>
    <x v="48"/>
    <n v="0"/>
    <n v="0"/>
    <n v="0"/>
  </r>
  <r>
    <n v="775"/>
    <x v="9"/>
    <x v="49"/>
    <n v="0"/>
    <n v="0"/>
    <n v="0"/>
  </r>
  <r>
    <n v="776"/>
    <x v="9"/>
    <x v="50"/>
    <n v="0"/>
    <n v="0"/>
    <n v="0"/>
  </r>
  <r>
    <n v="777"/>
    <x v="9"/>
    <x v="51"/>
    <n v="0"/>
    <n v="0"/>
    <n v="0"/>
  </r>
  <r>
    <n v="778"/>
    <x v="9"/>
    <x v="52"/>
    <n v="0"/>
    <n v="0"/>
    <n v="0"/>
  </r>
  <r>
    <n v="779"/>
    <x v="9"/>
    <x v="53"/>
    <n v="0"/>
    <n v="0"/>
    <n v="0"/>
  </r>
  <r>
    <n v="780"/>
    <x v="9"/>
    <x v="54"/>
    <n v="0"/>
    <n v="0"/>
    <n v="0"/>
  </r>
  <r>
    <n v="781"/>
    <x v="9"/>
    <x v="55"/>
    <n v="0"/>
    <n v="0"/>
    <n v="0"/>
  </r>
  <r>
    <n v="782"/>
    <x v="9"/>
    <x v="56"/>
    <n v="0"/>
    <n v="0"/>
    <n v="0"/>
  </r>
  <r>
    <n v="783"/>
    <x v="9"/>
    <x v="10"/>
    <n v="0"/>
    <n v="0"/>
    <n v="0"/>
  </r>
  <r>
    <n v="784"/>
    <x v="9"/>
    <x v="57"/>
    <n v="0"/>
    <n v="0"/>
    <n v="0"/>
  </r>
  <r>
    <n v="785"/>
    <x v="9"/>
    <x v="58"/>
    <n v="0"/>
    <n v="0"/>
    <n v="0"/>
  </r>
  <r>
    <n v="786"/>
    <x v="9"/>
    <x v="59"/>
    <n v="0"/>
    <n v="0"/>
    <n v="0"/>
  </r>
  <r>
    <n v="787"/>
    <x v="9"/>
    <x v="60"/>
    <n v="0"/>
    <n v="0"/>
    <n v="0"/>
  </r>
  <r>
    <n v="788"/>
    <x v="9"/>
    <x v="61"/>
    <n v="0"/>
    <n v="0"/>
    <n v="0"/>
  </r>
  <r>
    <n v="789"/>
    <x v="9"/>
    <x v="62"/>
    <n v="0"/>
    <n v="0"/>
    <n v="0"/>
  </r>
  <r>
    <n v="790"/>
    <x v="9"/>
    <x v="63"/>
    <n v="0"/>
    <n v="0"/>
    <n v="0"/>
  </r>
  <r>
    <n v="791"/>
    <x v="9"/>
    <x v="10"/>
    <n v="0"/>
    <n v="0"/>
    <n v="0"/>
  </r>
  <r>
    <n v="792"/>
    <x v="9"/>
    <x v="64"/>
    <n v="0"/>
    <n v="0"/>
    <n v="0"/>
  </r>
  <r>
    <n v="793"/>
    <x v="9"/>
    <x v="65"/>
    <n v="0"/>
    <n v="0"/>
    <n v="0"/>
  </r>
  <r>
    <n v="794"/>
    <x v="9"/>
    <x v="66"/>
    <n v="0"/>
    <n v="0"/>
    <n v="0"/>
  </r>
  <r>
    <n v="795"/>
    <x v="9"/>
    <x v="10"/>
    <n v="0"/>
    <n v="0"/>
    <n v="0"/>
  </r>
  <r>
    <n v="796"/>
    <x v="9"/>
    <x v="67"/>
    <n v="36.649000000000001"/>
    <n v="0"/>
    <n v="36.649000000000001"/>
  </r>
  <r>
    <n v="797"/>
    <x v="9"/>
    <x v="10"/>
    <n v="1.783460133590405E-2"/>
    <n v="0"/>
    <n v="1.0293153644325186E-2"/>
  </r>
  <r>
    <n v="798"/>
    <x v="9"/>
    <x v="68"/>
    <n v="27.373000000000001"/>
    <n v="0"/>
    <n v="27.373000000000001"/>
  </r>
  <r>
    <n v="799"/>
    <x v="9"/>
    <x v="10"/>
    <n v="1.3320596533812699E-2"/>
    <n v="0"/>
    <n v="7.6879176704988767E-3"/>
  </r>
  <r>
    <n v="800"/>
    <x v="9"/>
    <x v="69"/>
    <n v="2054.9380000000001"/>
    <n v="1505.5839999999998"/>
    <n v="3560.5219999999999"/>
  </r>
  <r>
    <n v="801"/>
    <x v="10"/>
    <x v="0"/>
    <n v="266364.14"/>
    <n v="253761.25"/>
    <n v="520125.39"/>
  </r>
  <r>
    <n v="802"/>
    <x v="10"/>
    <x v="1"/>
    <n v="0"/>
    <n v="0"/>
    <n v="0"/>
  </r>
  <r>
    <n v="803"/>
    <x v="10"/>
    <x v="2"/>
    <n v="0"/>
    <n v="0"/>
    <n v="0"/>
  </r>
  <r>
    <n v="804"/>
    <x v="10"/>
    <x v="3"/>
    <n v="46705.599999999999"/>
    <n v="171.7"/>
    <n v="46877.299999999996"/>
  </r>
  <r>
    <n v="805"/>
    <x v="10"/>
    <x v="4"/>
    <n v="8467.6"/>
    <n v="23"/>
    <n v="8490.6"/>
  </r>
  <r>
    <n v="806"/>
    <x v="10"/>
    <x v="5"/>
    <n v="0"/>
    <n v="0"/>
    <n v="0"/>
  </r>
  <r>
    <n v="807"/>
    <x v="10"/>
    <x v="6"/>
    <n v="4798.8"/>
    <n v="1069.3"/>
    <n v="5868.1"/>
  </r>
  <r>
    <n v="808"/>
    <x v="10"/>
    <x v="7"/>
    <n v="44289.74"/>
    <n v="26086.3"/>
    <n v="70376.039999999994"/>
  </r>
  <r>
    <n v="809"/>
    <x v="10"/>
    <x v="8"/>
    <n v="0"/>
    <n v="0"/>
    <n v="0"/>
  </r>
  <r>
    <n v="810"/>
    <x v="10"/>
    <x v="9"/>
    <n v="370625.87999999995"/>
    <n v="281111.55"/>
    <n v="651737.42999999993"/>
  </r>
  <r>
    <n v="811"/>
    <x v="10"/>
    <x v="10"/>
    <n v="0.53474517362696283"/>
    <n v="0.12799582616886668"/>
    <n v="0.22556585310886335"/>
  </r>
  <r>
    <n v="812"/>
    <x v="10"/>
    <x v="11"/>
    <n v="7413.5"/>
    <n v="54772"/>
    <n v="62185.5"/>
  </r>
  <r>
    <n v="813"/>
    <x v="10"/>
    <x v="12"/>
    <n v="22944.1"/>
    <n v="186624.7"/>
    <n v="209568.80000000002"/>
  </r>
  <r>
    <n v="814"/>
    <x v="10"/>
    <x v="13"/>
    <n v="0"/>
    <n v="0"/>
    <n v="0"/>
  </r>
  <r>
    <n v="815"/>
    <x v="10"/>
    <x v="14"/>
    <n v="14992.9"/>
    <n v="11764.9"/>
    <n v="26757.8"/>
  </r>
  <r>
    <n v="816"/>
    <x v="10"/>
    <x v="15"/>
    <n v="45350.5"/>
    <n v="253161.60000000001"/>
    <n v="298512.09999999998"/>
  </r>
  <r>
    <n v="817"/>
    <x v="10"/>
    <x v="10"/>
    <n v="6.5432454410818755E-2"/>
    <n v="0.11526964347865522"/>
    <n v="0.10331482189049404"/>
  </r>
  <r>
    <n v="818"/>
    <x v="10"/>
    <x v="16"/>
    <n v="8891.4"/>
    <n v="147141"/>
    <n v="156032.4"/>
  </r>
  <r>
    <n v="819"/>
    <x v="10"/>
    <x v="17"/>
    <n v="1890.2"/>
    <n v="3347.5"/>
    <n v="5237.7"/>
  </r>
  <r>
    <n v="820"/>
    <x v="10"/>
    <x v="18"/>
    <n v="0"/>
    <n v="0"/>
    <n v="0"/>
  </r>
  <r>
    <n v="821"/>
    <x v="10"/>
    <x v="19"/>
    <n v="2576.1"/>
    <n v="107842.3"/>
    <n v="110418.40000000001"/>
  </r>
  <r>
    <n v="822"/>
    <x v="10"/>
    <x v="20"/>
    <n v="0"/>
    <n v="0"/>
    <n v="0"/>
  </r>
  <r>
    <n v="823"/>
    <x v="10"/>
    <x v="21"/>
    <n v="425.1"/>
    <n v="341.5"/>
    <n v="766.6"/>
  </r>
  <r>
    <n v="824"/>
    <x v="10"/>
    <x v="22"/>
    <n v="13782.800000000001"/>
    <n v="258672.3"/>
    <n v="272455.09999999998"/>
  </r>
  <r>
    <n v="825"/>
    <x v="10"/>
    <x v="10"/>
    <n v="1.9886052692989774E-2"/>
    <n v="0.11777877766139787"/>
    <n v="9.4296513038020044E-2"/>
  </r>
  <r>
    <n v="826"/>
    <x v="10"/>
    <x v="23"/>
    <n v="19346"/>
    <n v="8293.2000000000007"/>
    <n v="27639.200000000001"/>
  </r>
  <r>
    <n v="827"/>
    <x v="10"/>
    <x v="24"/>
    <n v="22430.6"/>
    <n v="664.2"/>
    <n v="23094.799999999999"/>
  </r>
  <r>
    <n v="828"/>
    <x v="10"/>
    <x v="25"/>
    <n v="281.89999999999998"/>
    <n v="11.8"/>
    <n v="293.7"/>
  </r>
  <r>
    <n v="829"/>
    <x v="10"/>
    <x v="26"/>
    <n v="54088"/>
    <n v="954779.9"/>
    <n v="1008867.9"/>
  </r>
  <r>
    <n v="830"/>
    <x v="10"/>
    <x v="27"/>
    <n v="3261.4"/>
    <n v="590.20000000000005"/>
    <n v="3851.6000000000004"/>
  </r>
  <r>
    <n v="831"/>
    <x v="10"/>
    <x v="28"/>
    <n v="99407.9"/>
    <n v="964339.29999999993"/>
    <n v="1063747.2"/>
  </r>
  <r>
    <n v="832"/>
    <x v="10"/>
    <x v="10"/>
    <n v="0.14342736871313944"/>
    <n v="0.43908336534235809"/>
    <n v="0.36816213649132395"/>
  </r>
  <r>
    <n v="833"/>
    <x v="10"/>
    <x v="29"/>
    <n v="2759.8"/>
    <n v="8299.25"/>
    <n v="11059.05"/>
  </r>
  <r>
    <n v="834"/>
    <x v="10"/>
    <x v="30"/>
    <n v="2232.5"/>
    <n v="118.3"/>
    <n v="2350.8000000000002"/>
  </r>
  <r>
    <n v="835"/>
    <x v="10"/>
    <x v="31"/>
    <n v="3271.9"/>
    <n v="34.799999999999997"/>
    <n v="3306.7000000000003"/>
  </r>
  <r>
    <n v="836"/>
    <x v="10"/>
    <x v="32"/>
    <n v="1656"/>
    <n v="228.3"/>
    <n v="1884.3"/>
  </r>
  <r>
    <n v="837"/>
    <x v="10"/>
    <x v="33"/>
    <n v="27126.3"/>
    <n v="136579.9"/>
    <n v="163706.19999999998"/>
  </r>
  <r>
    <n v="838"/>
    <x v="10"/>
    <x v="34"/>
    <n v="3122.7"/>
    <n v="13424.7"/>
    <n v="16547.400000000001"/>
  </r>
  <r>
    <n v="839"/>
    <x v="10"/>
    <x v="35"/>
    <n v="9146.2000000000007"/>
    <n v="1067.8"/>
    <n v="10214"/>
  </r>
  <r>
    <n v="840"/>
    <x v="10"/>
    <x v="36"/>
    <n v="49315.399999999994"/>
    <n v="159753.04999999999"/>
    <n v="209068.44999999998"/>
  </r>
  <r>
    <n v="841"/>
    <x v="10"/>
    <x v="10"/>
    <n v="7.1153077964990263E-2"/>
    <n v="7.2738824206071459E-2"/>
    <n v="7.2358439321795198E-2"/>
  </r>
  <r>
    <n v="842"/>
    <x v="10"/>
    <x v="37"/>
    <n v="7902.3"/>
    <n v="2488.6"/>
    <n v="10390.9"/>
  </r>
  <r>
    <n v="843"/>
    <x v="10"/>
    <x v="38"/>
    <n v="0"/>
    <n v="0"/>
    <n v="0"/>
  </r>
  <r>
    <n v="844"/>
    <x v="10"/>
    <x v="39"/>
    <n v="32464.2"/>
    <n v="28408.1"/>
    <n v="60872.3"/>
  </r>
  <r>
    <n v="845"/>
    <x v="10"/>
    <x v="40"/>
    <n v="311.60000000000002"/>
    <n v="0"/>
    <n v="311.60000000000002"/>
  </r>
  <r>
    <n v="846"/>
    <x v="10"/>
    <x v="41"/>
    <n v="8159.2"/>
    <n v="49.7"/>
    <n v="8208.9"/>
  </r>
  <r>
    <n v="847"/>
    <x v="10"/>
    <x v="42"/>
    <n v="48837.299999999996"/>
    <n v="30946.399999999998"/>
    <n v="79783.7"/>
  </r>
  <r>
    <n v="848"/>
    <x v="10"/>
    <x v="10"/>
    <n v="7.0463267346500671E-2"/>
    <n v="1.4090527532405608E-2"/>
    <n v="2.761308086092527E-2"/>
  </r>
  <r>
    <n v="849"/>
    <x v="10"/>
    <x v="43"/>
    <n v="2625.7"/>
    <n v="546"/>
    <n v="3171.7"/>
  </r>
  <r>
    <n v="850"/>
    <x v="10"/>
    <x v="44"/>
    <n v="8563.2999999999993"/>
    <n v="13368.9"/>
    <n v="21932.199999999997"/>
  </r>
  <r>
    <n v="851"/>
    <x v="10"/>
    <x v="45"/>
    <n v="1299.4000000000001"/>
    <n v="20562.8"/>
    <n v="21862.2"/>
  </r>
  <r>
    <n v="852"/>
    <x v="10"/>
    <x v="46"/>
    <n v="2057.6"/>
    <n v="1696.4"/>
    <n v="3754"/>
  </r>
  <r>
    <n v="853"/>
    <x v="10"/>
    <x v="47"/>
    <n v="21516.7"/>
    <n v="7092.2"/>
    <n v="28608.9"/>
  </r>
  <r>
    <n v="854"/>
    <x v="10"/>
    <x v="48"/>
    <n v="0"/>
    <n v="0"/>
    <n v="0"/>
  </r>
  <r>
    <n v="855"/>
    <x v="10"/>
    <x v="49"/>
    <n v="525.79999999999995"/>
    <n v="19605.5"/>
    <n v="20131.3"/>
  </r>
  <r>
    <n v="856"/>
    <x v="10"/>
    <x v="50"/>
    <n v="5183.3999999999996"/>
    <n v="73227.5"/>
    <n v="78410.899999999994"/>
  </r>
  <r>
    <n v="857"/>
    <x v="10"/>
    <x v="51"/>
    <n v="9586.1"/>
    <n v="4139"/>
    <n v="13725.1"/>
  </r>
  <r>
    <n v="858"/>
    <x v="10"/>
    <x v="52"/>
    <n v="0"/>
    <n v="43"/>
    <n v="43"/>
  </r>
  <r>
    <n v="859"/>
    <x v="10"/>
    <x v="53"/>
    <n v="3209.6"/>
    <n v="965.4"/>
    <n v="4175"/>
  </r>
  <r>
    <n v="860"/>
    <x v="10"/>
    <x v="54"/>
    <n v="1317.2"/>
    <n v="14928"/>
    <n v="16245.2"/>
  </r>
  <r>
    <n v="861"/>
    <x v="10"/>
    <x v="55"/>
    <n v="0"/>
    <n v="27.4"/>
    <n v="27.4"/>
  </r>
  <r>
    <n v="862"/>
    <x v="10"/>
    <x v="56"/>
    <n v="55884.799999999996"/>
    <n v="156202.09999999998"/>
    <n v="212086.89999999997"/>
  </r>
  <r>
    <n v="863"/>
    <x v="10"/>
    <x v="10"/>
    <n v="8.063151736491822E-2"/>
    <n v="7.1122004196597144E-2"/>
    <n v="7.3403122683492625E-2"/>
  </r>
  <r>
    <n v="864"/>
    <x v="10"/>
    <x v="57"/>
    <n v="0"/>
    <n v="15997.9"/>
    <n v="15997.9"/>
  </r>
  <r>
    <n v="865"/>
    <x v="10"/>
    <x v="58"/>
    <n v="0"/>
    <n v="4411.7"/>
    <n v="4411.7"/>
  </r>
  <r>
    <n v="866"/>
    <x v="10"/>
    <x v="59"/>
    <n v="0"/>
    <n v="9757"/>
    <n v="9757"/>
  </r>
  <r>
    <n v="867"/>
    <x v="10"/>
    <x v="60"/>
    <n v="0"/>
    <n v="4078.7"/>
    <n v="4078.7"/>
  </r>
  <r>
    <n v="868"/>
    <x v="10"/>
    <x v="61"/>
    <n v="0"/>
    <n v="44320.7"/>
    <n v="44320.7"/>
  </r>
  <r>
    <n v="869"/>
    <x v="10"/>
    <x v="62"/>
    <n v="0"/>
    <n v="22.1"/>
    <n v="22.1"/>
  </r>
  <r>
    <n v="870"/>
    <x v="10"/>
    <x v="63"/>
    <n v="0"/>
    <n v="78588.100000000006"/>
    <n v="78588.100000000006"/>
  </r>
  <r>
    <n v="871"/>
    <x v="10"/>
    <x v="10"/>
    <n v="0"/>
    <n v="3.5782765903932132E-2"/>
    <n v="2.7199284565725599E-2"/>
  </r>
  <r>
    <n v="872"/>
    <x v="10"/>
    <x v="64"/>
    <n v="0"/>
    <n v="0"/>
    <n v="0"/>
  </r>
  <r>
    <n v="873"/>
    <x v="10"/>
    <x v="65"/>
    <n v="711.3"/>
    <n v="0"/>
    <n v="711.3"/>
  </r>
  <r>
    <n v="874"/>
    <x v="10"/>
    <x v="66"/>
    <n v="711.3"/>
    <n v="0"/>
    <n v="711.3"/>
  </r>
  <r>
    <n v="875"/>
    <x v="10"/>
    <x v="10"/>
    <n v="1.0262754505995608E-3"/>
    <n v="0"/>
    <n v="2.4618041550311833E-4"/>
  </r>
  <r>
    <n v="876"/>
    <x v="10"/>
    <x v="67"/>
    <n v="0"/>
    <n v="0"/>
    <n v="0"/>
  </r>
  <r>
    <n v="877"/>
    <x v="10"/>
    <x v="10"/>
    <n v="0"/>
    <n v="0"/>
    <n v="0"/>
  </r>
  <r>
    <n v="878"/>
    <x v="10"/>
    <x v="68"/>
    <n v="9172.9"/>
    <n v="13481.2"/>
    <n v="22654.1"/>
  </r>
  <r>
    <n v="879"/>
    <x v="10"/>
    <x v="10"/>
    <n v="1.323481242908015E-2"/>
    <n v="6.1382655097157179E-3"/>
    <n v="7.8405676238565911E-3"/>
  </r>
  <r>
    <n v="880"/>
    <x v="10"/>
    <x v="69"/>
    <n v="693088.78000000014"/>
    <n v="2196255.6"/>
    <n v="2889344.3800000004"/>
  </r>
  <r>
    <n v="881"/>
    <x v="11"/>
    <x v="0"/>
    <n v="15930.8"/>
    <n v="719.9"/>
    <n v="16650.7"/>
  </r>
  <r>
    <n v="882"/>
    <x v="11"/>
    <x v="1"/>
    <n v="0"/>
    <n v="0"/>
    <n v="0"/>
  </r>
  <r>
    <n v="883"/>
    <x v="11"/>
    <x v="2"/>
    <n v="0"/>
    <n v="0"/>
    <n v="0"/>
  </r>
  <r>
    <n v="884"/>
    <x v="11"/>
    <x v="3"/>
    <n v="2187.1999999999998"/>
    <n v="0"/>
    <n v="2187.1999999999998"/>
  </r>
  <r>
    <n v="885"/>
    <x v="11"/>
    <x v="4"/>
    <n v="2840.8"/>
    <n v="0"/>
    <n v="2840.8"/>
  </r>
  <r>
    <n v="886"/>
    <x v="11"/>
    <x v="5"/>
    <n v="0"/>
    <n v="0"/>
    <n v="0"/>
  </r>
  <r>
    <n v="887"/>
    <x v="11"/>
    <x v="6"/>
    <n v="3.7"/>
    <n v="121.6"/>
    <n v="125.3"/>
  </r>
  <r>
    <n v="888"/>
    <x v="11"/>
    <x v="7"/>
    <n v="2758"/>
    <n v="203"/>
    <n v="2961"/>
  </r>
  <r>
    <n v="889"/>
    <x v="11"/>
    <x v="8"/>
    <n v="85.2"/>
    <n v="251.3"/>
    <n v="336.5"/>
  </r>
  <r>
    <n v="890"/>
    <x v="11"/>
    <x v="9"/>
    <n v="23805.7"/>
    <n v="1295.8"/>
    <n v="25101.5"/>
  </r>
  <r>
    <n v="891"/>
    <x v="11"/>
    <x v="10"/>
    <n v="0.41112003384883727"/>
    <n v="3.1337591324725453E-2"/>
    <n v="0.25290113667733954"/>
  </r>
  <r>
    <n v="892"/>
    <x v="11"/>
    <x v="11"/>
    <n v="161.5"/>
    <n v="2410"/>
    <n v="2571.5"/>
  </r>
  <r>
    <n v="893"/>
    <x v="11"/>
    <x v="12"/>
    <n v="85.6"/>
    <n v="293.10000000000002"/>
    <n v="378.70000000000005"/>
  </r>
  <r>
    <n v="894"/>
    <x v="11"/>
    <x v="13"/>
    <n v="0"/>
    <n v="0"/>
    <n v="0"/>
  </r>
  <r>
    <n v="895"/>
    <x v="11"/>
    <x v="14"/>
    <n v="139.6"/>
    <n v="166"/>
    <n v="305.60000000000002"/>
  </r>
  <r>
    <n v="896"/>
    <x v="11"/>
    <x v="15"/>
    <n v="386.7"/>
    <n v="2869.1"/>
    <n v="3255.7999999999997"/>
  </r>
  <r>
    <n v="897"/>
    <x v="11"/>
    <x v="10"/>
    <n v="6.6782374426858004E-3"/>
    <n v="6.9386234966638219E-2"/>
    <n v="3.2802642104817724E-2"/>
  </r>
  <r>
    <n v="898"/>
    <x v="11"/>
    <x v="16"/>
    <n v="0"/>
    <n v="0"/>
    <n v="0"/>
  </r>
  <r>
    <n v="899"/>
    <x v="11"/>
    <x v="17"/>
    <n v="0"/>
    <n v="0"/>
    <n v="0"/>
  </r>
  <r>
    <n v="900"/>
    <x v="11"/>
    <x v="18"/>
    <n v="529.9"/>
    <n v="654.1"/>
    <n v="1184"/>
  </r>
  <r>
    <n v="901"/>
    <x v="11"/>
    <x v="19"/>
    <n v="956.2"/>
    <n v="7179"/>
    <n v="8135.2"/>
  </r>
  <r>
    <n v="902"/>
    <x v="11"/>
    <x v="20"/>
    <n v="0"/>
    <n v="0"/>
    <n v="0"/>
  </r>
  <r>
    <n v="903"/>
    <x v="11"/>
    <x v="21"/>
    <n v="0"/>
    <n v="110.1"/>
    <n v="110.1"/>
  </r>
  <r>
    <n v="904"/>
    <x v="11"/>
    <x v="22"/>
    <n v="1486.1"/>
    <n v="7943.2000000000007"/>
    <n v="9429.3000000000011"/>
  </r>
  <r>
    <n v="905"/>
    <x v="11"/>
    <x v="10"/>
    <n v="2.5664672003039481E-2"/>
    <n v="0.19209812888606209"/>
    <n v="9.5001521346199963E-2"/>
  </r>
  <r>
    <n v="906"/>
    <x v="11"/>
    <x v="23"/>
    <n v="5122.7"/>
    <n v="238"/>
    <n v="5360.7"/>
  </r>
  <r>
    <n v="907"/>
    <x v="11"/>
    <x v="24"/>
    <n v="2082.9"/>
    <n v="34.200000000000003"/>
    <n v="2117.1"/>
  </r>
  <r>
    <n v="908"/>
    <x v="11"/>
    <x v="25"/>
    <n v="0"/>
    <n v="0"/>
    <n v="0"/>
  </r>
  <r>
    <n v="909"/>
    <x v="11"/>
    <x v="26"/>
    <n v="0"/>
    <n v="0"/>
    <n v="0"/>
  </r>
  <r>
    <n v="910"/>
    <x v="11"/>
    <x v="27"/>
    <n v="1020"/>
    <n v="77.8"/>
    <n v="1097.8"/>
  </r>
  <r>
    <n v="911"/>
    <x v="11"/>
    <x v="28"/>
    <n v="8225.6"/>
    <n v="350"/>
    <n v="8575.6"/>
  </r>
  <r>
    <n v="912"/>
    <x v="11"/>
    <x v="10"/>
    <n v="0.14205458988506936"/>
    <n v="8.4643903099659735E-3"/>
    <n v="8.6400373989211535E-2"/>
  </r>
  <r>
    <n v="913"/>
    <x v="11"/>
    <x v="29"/>
    <n v="1177.9000000000001"/>
    <n v="926.2"/>
    <n v="2104.1000000000004"/>
  </r>
  <r>
    <n v="914"/>
    <x v="11"/>
    <x v="30"/>
    <n v="30.4"/>
    <n v="333.6"/>
    <n v="364"/>
  </r>
  <r>
    <n v="915"/>
    <x v="11"/>
    <x v="31"/>
    <n v="431.6"/>
    <n v="190.3"/>
    <n v="621.90000000000009"/>
  </r>
  <r>
    <n v="916"/>
    <x v="11"/>
    <x v="32"/>
    <n v="677.9"/>
    <n v="0"/>
    <n v="677.9"/>
  </r>
  <r>
    <n v="917"/>
    <x v="11"/>
    <x v="33"/>
    <n v="5637.4"/>
    <n v="8480.7000000000007"/>
    <n v="14118.1"/>
  </r>
  <r>
    <n v="918"/>
    <x v="11"/>
    <x v="34"/>
    <n v="2109.5"/>
    <n v="1536.8"/>
    <n v="3646.3"/>
  </r>
  <r>
    <n v="919"/>
    <x v="11"/>
    <x v="35"/>
    <n v="0"/>
    <n v="6.5"/>
    <n v="6.5"/>
  </r>
  <r>
    <n v="920"/>
    <x v="11"/>
    <x v="36"/>
    <n v="10064.700000000001"/>
    <n v="11474.1"/>
    <n v="21538.800000000003"/>
  </r>
  <r>
    <n v="921"/>
    <x v="11"/>
    <x v="10"/>
    <n v="0.17381550656684713"/>
    <n v="0.27748931673023025"/>
    <n v="0.21700643398465758"/>
  </r>
  <r>
    <n v="922"/>
    <x v="11"/>
    <x v="37"/>
    <n v="1568.7"/>
    <n v="28"/>
    <n v="1596.7"/>
  </r>
  <r>
    <n v="923"/>
    <x v="11"/>
    <x v="38"/>
    <n v="0"/>
    <n v="0"/>
    <n v="0"/>
  </r>
  <r>
    <n v="924"/>
    <x v="11"/>
    <x v="39"/>
    <n v="2211.9"/>
    <n v="2522.4"/>
    <n v="4734.3"/>
  </r>
  <r>
    <n v="925"/>
    <x v="11"/>
    <x v="40"/>
    <n v="207"/>
    <n v="17.399999999999999"/>
    <n v="224.4"/>
  </r>
  <r>
    <n v="926"/>
    <x v="11"/>
    <x v="41"/>
    <n v="1799.8"/>
    <n v="117.7"/>
    <n v="1917.5"/>
  </r>
  <r>
    <n v="927"/>
    <x v="11"/>
    <x v="42"/>
    <n v="5787.4000000000005"/>
    <n v="2685.5"/>
    <n v="8472.9000000000015"/>
  </r>
  <r>
    <n v="928"/>
    <x v="11"/>
    <x v="10"/>
    <n v="9.9947327064390495E-2"/>
    <n v="6.4946057649753211E-2"/>
    <n v="8.5365657070431283E-2"/>
  </r>
  <r>
    <n v="929"/>
    <x v="11"/>
    <x v="43"/>
    <n v="478.6"/>
    <n v="56.7"/>
    <n v="535.30000000000007"/>
  </r>
  <r>
    <n v="930"/>
    <x v="11"/>
    <x v="44"/>
    <n v="856.2"/>
    <n v="0"/>
    <n v="856.2"/>
  </r>
  <r>
    <n v="931"/>
    <x v="11"/>
    <x v="45"/>
    <n v="1460.6"/>
    <n v="5.7"/>
    <n v="1466.3"/>
  </r>
  <r>
    <n v="932"/>
    <x v="11"/>
    <x v="46"/>
    <n v="554.70000000000005"/>
    <n v="49.7"/>
    <n v="604.40000000000009"/>
  </r>
  <r>
    <n v="933"/>
    <x v="11"/>
    <x v="47"/>
    <n v="2043.8"/>
    <n v="824.3"/>
    <n v="2868.1"/>
  </r>
  <r>
    <n v="934"/>
    <x v="11"/>
    <x v="48"/>
    <n v="0"/>
    <n v="0"/>
    <n v="0"/>
  </r>
  <r>
    <n v="935"/>
    <x v="11"/>
    <x v="49"/>
    <n v="14.4"/>
    <n v="0"/>
    <n v="14.4"/>
  </r>
  <r>
    <n v="936"/>
    <x v="11"/>
    <x v="50"/>
    <n v="0"/>
    <n v="6161.5"/>
    <n v="6161.5"/>
  </r>
  <r>
    <n v="937"/>
    <x v="11"/>
    <x v="51"/>
    <n v="1711.4"/>
    <n v="0.3"/>
    <n v="1711.7"/>
  </r>
  <r>
    <n v="938"/>
    <x v="11"/>
    <x v="52"/>
    <n v="60.6"/>
    <n v="0"/>
    <n v="60.6"/>
  </r>
  <r>
    <n v="939"/>
    <x v="11"/>
    <x v="53"/>
    <n v="67.099999999999994"/>
    <n v="0"/>
    <n v="67.099999999999994"/>
  </r>
  <r>
    <n v="940"/>
    <x v="11"/>
    <x v="54"/>
    <n v="323.3"/>
    <n v="179.7"/>
    <n v="503"/>
  </r>
  <r>
    <n v="941"/>
    <x v="11"/>
    <x v="55"/>
    <n v="0"/>
    <n v="0"/>
    <n v="0"/>
  </r>
  <r>
    <n v="942"/>
    <x v="11"/>
    <x v="56"/>
    <n v="7570.7000000000016"/>
    <n v="7277.9"/>
    <n v="14848.600000000002"/>
  </r>
  <r>
    <n v="943"/>
    <x v="11"/>
    <x v="10"/>
    <n v="0.13074458807173883"/>
    <n v="0.17600853210543244"/>
    <n v="0.14960172970010338"/>
  </r>
  <r>
    <n v="944"/>
    <x v="11"/>
    <x v="57"/>
    <n v="0"/>
    <n v="2151.9"/>
    <n v="2151.9"/>
  </r>
  <r>
    <n v="945"/>
    <x v="11"/>
    <x v="58"/>
    <n v="0"/>
    <n v="87.5"/>
    <n v="87.5"/>
  </r>
  <r>
    <n v="946"/>
    <x v="11"/>
    <x v="59"/>
    <n v="0"/>
    <n v="210.5"/>
    <n v="210.5"/>
  </r>
  <r>
    <n v="947"/>
    <x v="11"/>
    <x v="60"/>
    <n v="0"/>
    <n v="2612.3000000000002"/>
    <n v="2612.3000000000002"/>
  </r>
  <r>
    <n v="948"/>
    <x v="11"/>
    <x v="61"/>
    <n v="0"/>
    <n v="2179.9"/>
    <n v="2179.9"/>
  </r>
  <r>
    <n v="949"/>
    <x v="11"/>
    <x v="62"/>
    <n v="0"/>
    <n v="0"/>
    <n v="0"/>
  </r>
  <r>
    <n v="950"/>
    <x v="11"/>
    <x v="63"/>
    <n v="0"/>
    <n v="7242.1"/>
    <n v="7242.1"/>
  </r>
  <r>
    <n v="951"/>
    <x v="11"/>
    <x v="10"/>
    <n v="0"/>
    <n v="0.17514274589658452"/>
    <n v="7.2965174269703448E-2"/>
  </r>
  <r>
    <n v="952"/>
    <x v="11"/>
    <x v="64"/>
    <n v="0"/>
    <n v="0"/>
    <n v="0"/>
  </r>
  <r>
    <n v="953"/>
    <x v="11"/>
    <x v="65"/>
    <n v="0"/>
    <n v="0"/>
    <n v="0"/>
  </r>
  <r>
    <n v="954"/>
    <x v="11"/>
    <x v="66"/>
    <n v="0"/>
    <n v="0"/>
    <n v="0"/>
  </r>
  <r>
    <n v="955"/>
    <x v="11"/>
    <x v="10"/>
    <n v="0"/>
    <n v="0"/>
    <n v="0"/>
  </r>
  <r>
    <n v="956"/>
    <x v="11"/>
    <x v="67"/>
    <n v="0"/>
    <n v="0"/>
    <n v="0"/>
  </r>
  <r>
    <n v="957"/>
    <x v="11"/>
    <x v="10"/>
    <n v="0"/>
    <n v="0"/>
    <n v="0"/>
  </r>
  <r>
    <n v="958"/>
    <x v="11"/>
    <x v="68"/>
    <n v="577.6"/>
    <n v="212"/>
    <n v="789.6"/>
  </r>
  <r>
    <n v="959"/>
    <x v="11"/>
    <x v="10"/>
    <n v="9.975045117391567E-3"/>
    <n v="5.1270021306079614E-3"/>
    <n v="7.9553308575354992E-3"/>
  </r>
  <r>
    <n v="960"/>
    <x v="11"/>
    <x v="69"/>
    <n v="57904.500000000007"/>
    <n v="41349.699999999997"/>
    <n v="99254.200000000012"/>
  </r>
  <r>
    <n v="961"/>
    <x v="12"/>
    <x v="0"/>
    <n v="309934.8"/>
    <n v="21497.200000000001"/>
    <n v="331432"/>
  </r>
  <r>
    <n v="962"/>
    <x v="12"/>
    <x v="1"/>
    <n v="289.89999999999998"/>
    <n v="2050.4"/>
    <n v="2340.3000000000002"/>
  </r>
  <r>
    <n v="963"/>
    <x v="12"/>
    <x v="2"/>
    <n v="0"/>
    <n v="0"/>
    <n v="0"/>
  </r>
  <r>
    <n v="964"/>
    <x v="12"/>
    <x v="3"/>
    <n v="92017"/>
    <n v="0"/>
    <n v="92017"/>
  </r>
  <r>
    <n v="965"/>
    <x v="12"/>
    <x v="4"/>
    <n v="6844.8"/>
    <n v="308.2"/>
    <n v="7153"/>
  </r>
  <r>
    <n v="966"/>
    <x v="12"/>
    <x v="5"/>
    <n v="0"/>
    <n v="0"/>
    <n v="0"/>
  </r>
  <r>
    <n v="967"/>
    <x v="12"/>
    <x v="6"/>
    <n v="15280.9"/>
    <n v="80.900000000000006"/>
    <n v="15361.8"/>
  </r>
  <r>
    <n v="968"/>
    <x v="12"/>
    <x v="7"/>
    <n v="62654.3"/>
    <n v="37836"/>
    <n v="100490.3"/>
  </r>
  <r>
    <n v="969"/>
    <x v="12"/>
    <x v="8"/>
    <n v="1201.9000000000001"/>
    <n v="4.2"/>
    <n v="1206.1000000000001"/>
  </r>
  <r>
    <n v="970"/>
    <x v="12"/>
    <x v="9"/>
    <n v="488223.60000000003"/>
    <n v="61776.9"/>
    <n v="550000.5"/>
  </r>
  <r>
    <n v="971"/>
    <x v="12"/>
    <x v="10"/>
    <n v="0.43808793997354722"/>
    <n v="4.6247083210747719E-2"/>
    <n v="0.22446773646532206"/>
  </r>
  <r>
    <n v="972"/>
    <x v="12"/>
    <x v="11"/>
    <n v="46531.6"/>
    <n v="261769.3"/>
    <n v="308300.89999999997"/>
  </r>
  <r>
    <n v="973"/>
    <x v="12"/>
    <x v="12"/>
    <n v="22752.400000000001"/>
    <n v="162447.9"/>
    <n v="185200.3"/>
  </r>
  <r>
    <n v="974"/>
    <x v="12"/>
    <x v="13"/>
    <n v="287.89999999999998"/>
    <n v="3248.5"/>
    <n v="3536.4"/>
  </r>
  <r>
    <n v="975"/>
    <x v="12"/>
    <x v="14"/>
    <n v="28451.1"/>
    <n v="9615.6"/>
    <n v="38066.699999999997"/>
  </r>
  <r>
    <n v="976"/>
    <x v="12"/>
    <x v="15"/>
    <n v="98023"/>
    <n v="437081.29999999993"/>
    <n v="535104.29999999993"/>
  </r>
  <r>
    <n v="977"/>
    <x v="12"/>
    <x v="10"/>
    <n v="8.7957022438134941E-2"/>
    <n v="0.32720539960667794"/>
    <n v="0.21838825781769403"/>
  </r>
  <r>
    <n v="978"/>
    <x v="12"/>
    <x v="16"/>
    <n v="2090.6"/>
    <n v="6400.1"/>
    <n v="8490.7000000000007"/>
  </r>
  <r>
    <n v="979"/>
    <x v="12"/>
    <x v="17"/>
    <n v="5626.6"/>
    <n v="16925.8"/>
    <n v="22552.400000000001"/>
  </r>
  <r>
    <n v="980"/>
    <x v="12"/>
    <x v="18"/>
    <n v="829"/>
    <n v="3739.6"/>
    <n v="4568.6000000000004"/>
  </r>
  <r>
    <n v="981"/>
    <x v="12"/>
    <x v="19"/>
    <n v="8778.5"/>
    <n v="83776.899999999994"/>
    <n v="92555.4"/>
  </r>
  <r>
    <n v="982"/>
    <x v="12"/>
    <x v="20"/>
    <n v="7051.9"/>
    <n v="47427.7"/>
    <n v="54479.6"/>
  </r>
  <r>
    <n v="983"/>
    <x v="12"/>
    <x v="21"/>
    <n v="190.2"/>
    <n v="2353"/>
    <n v="2543.1999999999998"/>
  </r>
  <r>
    <n v="984"/>
    <x v="12"/>
    <x v="22"/>
    <n v="24566.799999999999"/>
    <n v="160623.09999999998"/>
    <n v="185189.89999999997"/>
  </r>
  <r>
    <n v="985"/>
    <x v="12"/>
    <x v="10"/>
    <n v="2.2044036387716896E-2"/>
    <n v="0.12024478196976945"/>
    <n v="7.5580217962055191E-2"/>
  </r>
  <r>
    <n v="986"/>
    <x v="12"/>
    <x v="23"/>
    <n v="75129.399999999994"/>
    <n v="14774.8"/>
    <n v="89904.2"/>
  </r>
  <r>
    <n v="987"/>
    <x v="12"/>
    <x v="24"/>
    <n v="42758.6"/>
    <n v="4337.8999999999996"/>
    <n v="47096.5"/>
  </r>
  <r>
    <n v="988"/>
    <x v="12"/>
    <x v="25"/>
    <n v="2293.1999999999998"/>
    <n v="755.7"/>
    <n v="3048.8999999999996"/>
  </r>
  <r>
    <n v="989"/>
    <x v="12"/>
    <x v="26"/>
    <n v="6456.9"/>
    <n v="23500.400000000001"/>
    <n v="29957.300000000003"/>
  </r>
  <r>
    <n v="990"/>
    <x v="12"/>
    <x v="27"/>
    <n v="14916.7"/>
    <n v="20354"/>
    <n v="35270.699999999997"/>
  </r>
  <r>
    <n v="991"/>
    <x v="12"/>
    <x v="28"/>
    <n v="141554.79999999999"/>
    <n v="63722.8"/>
    <n v="205277.59999999998"/>
  </r>
  <r>
    <n v="992"/>
    <x v="12"/>
    <x v="10"/>
    <n v="0.12701854380936825"/>
    <n v="4.7703812169627074E-2"/>
    <n v="8.3778466054183209E-2"/>
  </r>
  <r>
    <n v="993"/>
    <x v="12"/>
    <x v="29"/>
    <n v="3664.3"/>
    <n v="17515.400000000001"/>
    <n v="21179.7"/>
  </r>
  <r>
    <n v="994"/>
    <x v="12"/>
    <x v="30"/>
    <n v="202.7"/>
    <n v="23252.400000000001"/>
    <n v="23455.100000000002"/>
  </r>
  <r>
    <n v="995"/>
    <x v="12"/>
    <x v="31"/>
    <n v="4173.3"/>
    <n v="5969.1"/>
    <n v="10142.400000000001"/>
  </r>
  <r>
    <n v="996"/>
    <x v="12"/>
    <x v="32"/>
    <n v="2011.7"/>
    <n v="61.1"/>
    <n v="2072.8000000000002"/>
  </r>
  <r>
    <n v="997"/>
    <x v="12"/>
    <x v="33"/>
    <n v="149103.5"/>
    <n v="141594.70000000001"/>
    <n v="290698.2"/>
  </r>
  <r>
    <n v="998"/>
    <x v="12"/>
    <x v="34"/>
    <n v="0"/>
    <n v="112108.8"/>
    <n v="112108.8"/>
  </r>
  <r>
    <n v="999"/>
    <x v="12"/>
    <x v="35"/>
    <n v="8552"/>
    <n v="819"/>
    <n v="9371"/>
  </r>
  <r>
    <n v="1000"/>
    <x v="12"/>
    <x v="36"/>
    <n v="167707.5"/>
    <n v="301320.5"/>
    <n v="469028"/>
  </r>
  <r>
    <n v="1001"/>
    <x v="12"/>
    <x v="10"/>
    <n v="0.15048562419578584"/>
    <n v="0.22557289596279689"/>
    <n v="0.19142101416063634"/>
  </r>
  <r>
    <n v="1002"/>
    <x v="12"/>
    <x v="37"/>
    <n v="6142.3"/>
    <n v="509.1"/>
    <n v="6651.4000000000005"/>
  </r>
  <r>
    <n v="1003"/>
    <x v="12"/>
    <x v="38"/>
    <n v="0"/>
    <n v="0"/>
    <n v="0"/>
  </r>
  <r>
    <n v="1004"/>
    <x v="12"/>
    <x v="39"/>
    <n v="22122.799999999999"/>
    <n v="1487.9"/>
    <n v="23610.7"/>
  </r>
  <r>
    <n v="1005"/>
    <x v="12"/>
    <x v="40"/>
    <n v="360.8"/>
    <n v="289.60000000000002"/>
    <n v="650.40000000000009"/>
  </r>
  <r>
    <n v="1006"/>
    <x v="12"/>
    <x v="41"/>
    <n v="15407.4"/>
    <n v="1159"/>
    <n v="16566.400000000001"/>
  </r>
  <r>
    <n v="1007"/>
    <x v="12"/>
    <x v="42"/>
    <n v="44033.299999999996"/>
    <n v="3445.6"/>
    <n v="47478.899999999994"/>
  </r>
  <r>
    <n v="1008"/>
    <x v="12"/>
    <x v="10"/>
    <n v="3.9511522358274355E-2"/>
    <n v="2.5794261270952789E-3"/>
    <n v="1.9377220953187092E-2"/>
  </r>
  <r>
    <n v="1009"/>
    <x v="12"/>
    <x v="43"/>
    <n v="2577.6999999999998"/>
    <n v="2947.3"/>
    <n v="5525"/>
  </r>
  <r>
    <n v="1010"/>
    <x v="12"/>
    <x v="44"/>
    <n v="11540"/>
    <n v="16390.8"/>
    <n v="27930.799999999999"/>
  </r>
  <r>
    <n v="1011"/>
    <x v="12"/>
    <x v="45"/>
    <n v="35571.599999999999"/>
    <n v="25630.3"/>
    <n v="61201.899999999994"/>
  </r>
  <r>
    <n v="1012"/>
    <x v="12"/>
    <x v="46"/>
    <n v="2311.3000000000002"/>
    <n v="1046.4000000000001"/>
    <n v="3357.7000000000003"/>
  </r>
  <r>
    <n v="1013"/>
    <x v="12"/>
    <x v="47"/>
    <n v="27563.3"/>
    <n v="9853.1"/>
    <n v="37416.400000000001"/>
  </r>
  <r>
    <n v="1014"/>
    <x v="12"/>
    <x v="48"/>
    <n v="0"/>
    <n v="0"/>
    <n v="0"/>
  </r>
  <r>
    <n v="1015"/>
    <x v="12"/>
    <x v="49"/>
    <n v="17567.099999999999"/>
    <n v="7482.3"/>
    <n v="25049.399999999998"/>
  </r>
  <r>
    <n v="1016"/>
    <x v="12"/>
    <x v="50"/>
    <n v="17626.400000000001"/>
    <n v="78896.3"/>
    <n v="96522.700000000012"/>
  </r>
  <r>
    <n v="1017"/>
    <x v="12"/>
    <x v="51"/>
    <n v="9124.1"/>
    <n v="1416.5"/>
    <n v="10540.6"/>
  </r>
  <r>
    <n v="1018"/>
    <x v="12"/>
    <x v="52"/>
    <n v="3274.7"/>
    <n v="69.8"/>
    <n v="3344.5"/>
  </r>
  <r>
    <n v="1019"/>
    <x v="12"/>
    <x v="53"/>
    <n v="2067.6999999999998"/>
    <n v="871.8"/>
    <n v="2939.5"/>
  </r>
  <r>
    <n v="1020"/>
    <x v="12"/>
    <x v="54"/>
    <n v="7475.9"/>
    <n v="8568.7999999999993"/>
    <n v="16044.699999999999"/>
  </r>
  <r>
    <n v="1021"/>
    <x v="12"/>
    <x v="55"/>
    <n v="1291.8"/>
    <n v="295"/>
    <n v="1586.8"/>
  </r>
  <r>
    <n v="1022"/>
    <x v="12"/>
    <x v="56"/>
    <n v="137991.59999999998"/>
    <n v="153468.39999999997"/>
    <n v="291459.99999999994"/>
  </r>
  <r>
    <n v="1023"/>
    <x v="12"/>
    <x v="10"/>
    <n v="0.12382124866076472"/>
    <n v="0.11488866979437805"/>
    <n v="0.11895146726263477"/>
  </r>
  <r>
    <n v="1024"/>
    <x v="12"/>
    <x v="57"/>
    <n v="0"/>
    <n v="34565.300000000003"/>
    <n v="34565.300000000003"/>
  </r>
  <r>
    <n v="1025"/>
    <x v="12"/>
    <x v="58"/>
    <n v="0"/>
    <n v="13858.6"/>
    <n v="13858.6"/>
  </r>
  <r>
    <n v="1026"/>
    <x v="12"/>
    <x v="59"/>
    <n v="0"/>
    <n v="8057.6"/>
    <n v="8057.6"/>
  </r>
  <r>
    <n v="1027"/>
    <x v="12"/>
    <x v="60"/>
    <n v="0"/>
    <n v="27379.599999999999"/>
    <n v="27379.599999999999"/>
  </r>
  <r>
    <n v="1028"/>
    <x v="12"/>
    <x v="61"/>
    <n v="0"/>
    <n v="64391.8"/>
    <n v="64391.8"/>
  </r>
  <r>
    <n v="1029"/>
    <x v="12"/>
    <x v="62"/>
    <n v="486.8"/>
    <n v="128.1"/>
    <n v="614.9"/>
  </r>
  <r>
    <n v="1030"/>
    <x v="12"/>
    <x v="63"/>
    <n v="486.8"/>
    <n v="148381.00000000003"/>
    <n v="148867.80000000002"/>
  </r>
  <r>
    <n v="1031"/>
    <x v="12"/>
    <x v="10"/>
    <n v="4.3681052939497966E-4"/>
    <n v="0.11108016837837377"/>
    <n v="6.0756341309821126E-2"/>
  </r>
  <r>
    <n v="1032"/>
    <x v="12"/>
    <x v="64"/>
    <n v="0"/>
    <n v="0"/>
    <n v="0"/>
  </r>
  <r>
    <n v="1033"/>
    <x v="12"/>
    <x v="65"/>
    <n v="237.29999999999998"/>
    <n v="0"/>
    <n v="237.29999999999998"/>
  </r>
  <r>
    <n v="1034"/>
    <x v="12"/>
    <x v="66"/>
    <n v="237.29999999999998"/>
    <n v="0"/>
    <n v="237.29999999999998"/>
  </r>
  <r>
    <n v="1035"/>
    <x v="12"/>
    <x v="10"/>
    <n v="2.129316734293933E-4"/>
    <n v="0"/>
    <n v="9.6847537162640611E-5"/>
  </r>
  <r>
    <n v="1036"/>
    <x v="12"/>
    <x v="67"/>
    <n v="0"/>
    <n v="0"/>
    <n v="0"/>
  </r>
  <r>
    <n v="1037"/>
    <x v="12"/>
    <x v="10"/>
    <n v="0"/>
    <n v="0"/>
    <n v="0"/>
  </r>
  <r>
    <n v="1038"/>
    <x v="12"/>
    <x v="68"/>
    <n v="11617.3"/>
    <n v="5981.4"/>
    <n v="17598.699999999997"/>
  </r>
  <r>
    <n v="1039"/>
    <x v="12"/>
    <x v="10"/>
    <n v="1.0424319973583189E-2"/>
    <n v="4.4777627805339271E-3"/>
    <n v="7.1824304773036802E-3"/>
  </r>
  <r>
    <n v="1040"/>
    <x v="12"/>
    <x v="69"/>
    <n v="1114442.0000000002"/>
    <n v="1335800.9999999998"/>
    <n v="2450242.9999999995"/>
  </r>
  <r>
    <n v="1041"/>
    <x v="13"/>
    <x v="0"/>
    <n v="0"/>
    <n v="25.9"/>
    <n v="25.9"/>
  </r>
  <r>
    <n v="1042"/>
    <x v="13"/>
    <x v="1"/>
    <n v="0"/>
    <n v="0"/>
    <n v="0"/>
  </r>
  <r>
    <n v="1043"/>
    <x v="13"/>
    <x v="2"/>
    <n v="0"/>
    <n v="0"/>
    <n v="0"/>
  </r>
  <r>
    <n v="1044"/>
    <x v="13"/>
    <x v="3"/>
    <n v="0"/>
    <n v="0"/>
    <n v="0"/>
  </r>
  <r>
    <n v="1045"/>
    <x v="13"/>
    <x v="4"/>
    <n v="0"/>
    <n v="0"/>
    <n v="0"/>
  </r>
  <r>
    <n v="1046"/>
    <x v="13"/>
    <x v="5"/>
    <n v="0"/>
    <n v="0"/>
    <n v="0"/>
  </r>
  <r>
    <n v="1047"/>
    <x v="13"/>
    <x v="6"/>
    <n v="0"/>
    <n v="0"/>
    <n v="0"/>
  </r>
  <r>
    <n v="1048"/>
    <x v="13"/>
    <x v="7"/>
    <n v="0"/>
    <n v="0"/>
    <n v="0"/>
  </r>
  <r>
    <n v="1049"/>
    <x v="13"/>
    <x v="8"/>
    <n v="0"/>
    <n v="0"/>
    <n v="0"/>
  </r>
  <r>
    <n v="1050"/>
    <x v="13"/>
    <x v="9"/>
    <n v="0"/>
    <n v="25.9"/>
    <n v="25.9"/>
  </r>
  <r>
    <n v="1051"/>
    <x v="13"/>
    <x v="10"/>
    <n v="0"/>
    <n v="1.3652575170868038E-4"/>
    <n v="8.5501828055493647E-5"/>
  </r>
  <r>
    <n v="1052"/>
    <x v="13"/>
    <x v="11"/>
    <n v="2870.4"/>
    <n v="6201.2"/>
    <n v="9071.6"/>
  </r>
  <r>
    <n v="1053"/>
    <x v="13"/>
    <x v="12"/>
    <n v="0"/>
    <n v="290.8"/>
    <n v="290.8"/>
  </r>
  <r>
    <n v="1054"/>
    <x v="13"/>
    <x v="13"/>
    <n v="0"/>
    <n v="0"/>
    <n v="0"/>
  </r>
  <r>
    <n v="1055"/>
    <x v="13"/>
    <x v="14"/>
    <n v="785.1"/>
    <n v="50.3"/>
    <n v="835.4"/>
  </r>
  <r>
    <n v="1056"/>
    <x v="13"/>
    <x v="15"/>
    <n v="3655.5"/>
    <n v="6542.3"/>
    <n v="10197.799999999999"/>
  </r>
  <r>
    <n v="1057"/>
    <x v="13"/>
    <x v="10"/>
    <n v="3.2289635958756183E-2"/>
    <n v="3.4486194031030877E-2"/>
    <n v="3.3665271897463829E-2"/>
  </r>
  <r>
    <n v="1058"/>
    <x v="13"/>
    <x v="16"/>
    <n v="2.8"/>
    <n v="135332.4"/>
    <n v="135335.19999999998"/>
  </r>
  <r>
    <n v="1059"/>
    <x v="13"/>
    <x v="17"/>
    <n v="0"/>
    <n v="0"/>
    <n v="0"/>
  </r>
  <r>
    <n v="1060"/>
    <x v="13"/>
    <x v="18"/>
    <n v="0"/>
    <n v="0"/>
    <n v="0"/>
  </r>
  <r>
    <n v="1061"/>
    <x v="13"/>
    <x v="19"/>
    <n v="6518.1"/>
    <n v="7320.3"/>
    <n v="13838.400000000001"/>
  </r>
  <r>
    <n v="1062"/>
    <x v="13"/>
    <x v="20"/>
    <n v="0"/>
    <n v="0"/>
    <n v="0"/>
  </r>
  <r>
    <n v="1063"/>
    <x v="13"/>
    <x v="21"/>
    <n v="1506"/>
    <n v="3871.1"/>
    <n v="5377.1"/>
  </r>
  <r>
    <n v="1064"/>
    <x v="13"/>
    <x v="22"/>
    <n v="8026.9000000000005"/>
    <n v="146523.79999999999"/>
    <n v="154550.69999999998"/>
  </r>
  <r>
    <n v="1065"/>
    <x v="13"/>
    <x v="10"/>
    <n v="7.0902934995852832E-2"/>
    <n v="0.7723657119000904"/>
    <n v="0.51020723464309581"/>
  </r>
  <r>
    <n v="1066"/>
    <x v="13"/>
    <x v="23"/>
    <n v="0"/>
    <n v="0"/>
    <n v="0"/>
  </r>
  <r>
    <n v="1067"/>
    <x v="13"/>
    <x v="24"/>
    <n v="829.3"/>
    <n v="1574.7"/>
    <n v="2404"/>
  </r>
  <r>
    <n v="1068"/>
    <x v="13"/>
    <x v="25"/>
    <n v="0"/>
    <n v="0"/>
    <n v="0"/>
  </r>
  <r>
    <n v="1069"/>
    <x v="13"/>
    <x v="26"/>
    <n v="0"/>
    <n v="0"/>
    <n v="0"/>
  </r>
  <r>
    <n v="1070"/>
    <x v="13"/>
    <x v="27"/>
    <n v="3127.5"/>
    <n v="5512.8"/>
    <n v="8640.2999999999993"/>
  </r>
  <r>
    <n v="1071"/>
    <x v="13"/>
    <x v="28"/>
    <n v="3956.8"/>
    <n v="7087.5"/>
    <n v="11044.3"/>
  </r>
  <r>
    <n v="1072"/>
    <x v="13"/>
    <x v="10"/>
    <n v="3.4951068680510587E-2"/>
    <n v="3.7360087460821326E-2"/>
    <n v="3.6459762146459018E-2"/>
  </r>
  <r>
    <n v="1073"/>
    <x v="13"/>
    <x v="29"/>
    <n v="0"/>
    <n v="708.6"/>
    <n v="708.6"/>
  </r>
  <r>
    <n v="1074"/>
    <x v="13"/>
    <x v="30"/>
    <n v="0"/>
    <n v="0"/>
    <n v="0"/>
  </r>
  <r>
    <n v="1075"/>
    <x v="13"/>
    <x v="31"/>
    <n v="0"/>
    <n v="0"/>
    <n v="0"/>
  </r>
  <r>
    <n v="1076"/>
    <x v="13"/>
    <x v="32"/>
    <n v="0"/>
    <n v="0"/>
    <n v="0"/>
  </r>
  <r>
    <n v="1077"/>
    <x v="13"/>
    <x v="33"/>
    <n v="3.8"/>
    <n v="132.5"/>
    <n v="136.30000000000001"/>
  </r>
  <r>
    <n v="1078"/>
    <x v="13"/>
    <x v="34"/>
    <n v="0"/>
    <n v="0"/>
    <n v="0"/>
  </r>
  <r>
    <n v="1079"/>
    <x v="13"/>
    <x v="35"/>
    <n v="30.9"/>
    <n v="32.200000000000003"/>
    <n v="63.1"/>
  </r>
  <r>
    <n v="1080"/>
    <x v="13"/>
    <x v="36"/>
    <n v="34.699999999999996"/>
    <n v="873.30000000000007"/>
    <n v="908.00000000000011"/>
  </r>
  <r>
    <n v="1081"/>
    <x v="13"/>
    <x v="10"/>
    <n v="3.0651083785223347E-4"/>
    <n v="4.6033953269185553E-3"/>
    <n v="2.9975158252659555E-3"/>
  </r>
  <r>
    <n v="1082"/>
    <x v="13"/>
    <x v="37"/>
    <n v="10935.2"/>
    <n v="3221.7"/>
    <n v="14156.900000000001"/>
  </r>
  <r>
    <n v="1083"/>
    <x v="13"/>
    <x v="38"/>
    <n v="15578.6"/>
    <n v="12986.4"/>
    <n v="28565"/>
  </r>
  <r>
    <n v="1084"/>
    <x v="13"/>
    <x v="39"/>
    <n v="30708.2"/>
    <n v="7758.6"/>
    <n v="38466.800000000003"/>
  </r>
  <r>
    <n v="1085"/>
    <x v="13"/>
    <x v="40"/>
    <n v="0"/>
    <n v="0"/>
    <n v="0"/>
  </r>
  <r>
    <n v="1086"/>
    <x v="13"/>
    <x v="41"/>
    <n v="3545.3"/>
    <n v="2047.8"/>
    <n v="5593.1"/>
  </r>
  <r>
    <n v="1087"/>
    <x v="13"/>
    <x v="42"/>
    <n v="60767.3"/>
    <n v="26014.499999999996"/>
    <n v="86781.8"/>
  </r>
  <r>
    <n v="1088"/>
    <x v="13"/>
    <x v="10"/>
    <n v="0.53676760913596622"/>
    <n v="0.13712931149905272"/>
    <n v="0.28648658463112897"/>
  </r>
  <r>
    <n v="1089"/>
    <x v="13"/>
    <x v="43"/>
    <n v="0"/>
    <n v="0"/>
    <n v="0"/>
  </r>
  <r>
    <n v="1090"/>
    <x v="13"/>
    <x v="44"/>
    <n v="0"/>
    <n v="0"/>
    <n v="0"/>
  </r>
  <r>
    <n v="1091"/>
    <x v="13"/>
    <x v="45"/>
    <n v="37.9"/>
    <n v="0"/>
    <n v="37.9"/>
  </r>
  <r>
    <n v="1092"/>
    <x v="13"/>
    <x v="46"/>
    <n v="0"/>
    <n v="0"/>
    <n v="0"/>
  </r>
  <r>
    <n v="1093"/>
    <x v="13"/>
    <x v="47"/>
    <n v="0"/>
    <n v="0"/>
    <n v="0"/>
  </r>
  <r>
    <n v="1094"/>
    <x v="13"/>
    <x v="48"/>
    <n v="0"/>
    <n v="0"/>
    <n v="0"/>
  </r>
  <r>
    <n v="1095"/>
    <x v="13"/>
    <x v="49"/>
    <n v="346.5"/>
    <n v="0"/>
    <n v="346.5"/>
  </r>
  <r>
    <n v="1096"/>
    <x v="13"/>
    <x v="50"/>
    <n v="10100"/>
    <n v="0"/>
    <n v="10100"/>
  </r>
  <r>
    <n v="1097"/>
    <x v="13"/>
    <x v="51"/>
    <n v="0"/>
    <n v="0"/>
    <n v="0"/>
  </r>
  <r>
    <n v="1098"/>
    <x v="13"/>
    <x v="52"/>
    <n v="0"/>
    <n v="0"/>
    <n v="0"/>
  </r>
  <r>
    <n v="1099"/>
    <x v="13"/>
    <x v="53"/>
    <n v="0"/>
    <n v="0"/>
    <n v="0"/>
  </r>
  <r>
    <n v="1100"/>
    <x v="13"/>
    <x v="54"/>
    <n v="345.1"/>
    <n v="1733.1"/>
    <n v="2078.1999999999998"/>
  </r>
  <r>
    <n v="1101"/>
    <x v="13"/>
    <x v="55"/>
    <n v="0"/>
    <n v="0"/>
    <n v="0"/>
  </r>
  <r>
    <n v="1102"/>
    <x v="13"/>
    <x v="56"/>
    <n v="10829.5"/>
    <n v="1733.1"/>
    <n v="12562.6"/>
  </r>
  <r>
    <n v="1103"/>
    <x v="13"/>
    <x v="10"/>
    <n v="9.5658764222500359E-2"/>
    <n v="9.1356285824831657E-3"/>
    <n v="4.1472017958685124E-2"/>
  </r>
  <r>
    <n v="1104"/>
    <x v="13"/>
    <x v="57"/>
    <n v="0"/>
    <n v="0"/>
    <n v="0"/>
  </r>
  <r>
    <n v="1105"/>
    <x v="13"/>
    <x v="58"/>
    <n v="0"/>
    <n v="0"/>
    <n v="0"/>
  </r>
  <r>
    <n v="1106"/>
    <x v="13"/>
    <x v="59"/>
    <n v="0"/>
    <n v="350.7"/>
    <n v="350.7"/>
  </r>
  <r>
    <n v="1107"/>
    <x v="13"/>
    <x v="60"/>
    <n v="0"/>
    <n v="0"/>
    <n v="0"/>
  </r>
  <r>
    <n v="1108"/>
    <x v="13"/>
    <x v="61"/>
    <n v="0"/>
    <n v="0"/>
    <n v="0"/>
  </r>
  <r>
    <n v="1109"/>
    <x v="13"/>
    <x v="62"/>
    <n v="0"/>
    <n v="0"/>
    <n v="0"/>
  </r>
  <r>
    <n v="1110"/>
    <x v="13"/>
    <x v="63"/>
    <n v="0"/>
    <n v="350.7"/>
    <n v="350.7"/>
  </r>
  <r>
    <n v="1111"/>
    <x v="13"/>
    <x v="10"/>
    <n v="0"/>
    <n v="1.8486324758391587E-3"/>
    <n v="1.1577409690757385E-3"/>
  </r>
  <r>
    <n v="1112"/>
    <x v="13"/>
    <x v="64"/>
    <n v="0"/>
    <n v="0"/>
    <n v="0"/>
  </r>
  <r>
    <n v="1113"/>
    <x v="13"/>
    <x v="65"/>
    <n v="0"/>
    <n v="0"/>
    <n v="0"/>
  </r>
  <r>
    <n v="1114"/>
    <x v="13"/>
    <x v="66"/>
    <n v="0"/>
    <n v="0"/>
    <n v="0"/>
  </r>
  <r>
    <n v="1115"/>
    <x v="13"/>
    <x v="10"/>
    <n v="0"/>
    <n v="0"/>
    <n v="0"/>
  </r>
  <r>
    <n v="1116"/>
    <x v="13"/>
    <x v="67"/>
    <n v="24893.200000000001"/>
    <n v="0"/>
    <n v="24893.200000000001"/>
  </r>
  <r>
    <n v="1117"/>
    <x v="13"/>
    <x v="10"/>
    <n v="0.21988575183928585"/>
    <n v="0"/>
    <n v="8.2178150816641496E-2"/>
  </r>
  <r>
    <n v="1118"/>
    <x v="13"/>
    <x v="68"/>
    <n v="1045.8"/>
    <n v="556.70000000000005"/>
    <n v="1602.5"/>
  </r>
  <r>
    <n v="1119"/>
    <x v="13"/>
    <x v="10"/>
    <n v="9.2377243292756702E-3"/>
    <n v="2.9345129720549181E-3"/>
    <n v="5.2902192841285172E-3"/>
  </r>
  <r>
    <n v="1120"/>
    <x v="13"/>
    <x v="69"/>
    <n v="113209.70000000001"/>
    <n v="189707.80000000002"/>
    <n v="302917.5"/>
  </r>
  <r>
    <n v="1121"/>
    <x v="14"/>
    <x v="0"/>
    <n v="42576.6"/>
    <n v="2012.6"/>
    <n v="44589.2"/>
  </r>
  <r>
    <n v="1122"/>
    <x v="14"/>
    <x v="1"/>
    <n v="0"/>
    <n v="0"/>
    <n v="0"/>
  </r>
  <r>
    <n v="1123"/>
    <x v="14"/>
    <x v="2"/>
    <n v="173.8"/>
    <n v="0"/>
    <n v="173.8"/>
  </r>
  <r>
    <n v="1124"/>
    <x v="14"/>
    <x v="3"/>
    <n v="1577.5"/>
    <n v="0"/>
    <n v="1577.5"/>
  </r>
  <r>
    <n v="1125"/>
    <x v="14"/>
    <x v="4"/>
    <n v="3569.1"/>
    <n v="1346.4"/>
    <n v="4915.5"/>
  </r>
  <r>
    <n v="1126"/>
    <x v="14"/>
    <x v="5"/>
    <n v="399.9"/>
    <n v="2.2999999999999998"/>
    <n v="402.2"/>
  </r>
  <r>
    <n v="1127"/>
    <x v="14"/>
    <x v="6"/>
    <n v="2260.1999999999998"/>
    <n v="310.7"/>
    <n v="2570.8999999999996"/>
  </r>
  <r>
    <n v="1128"/>
    <x v="14"/>
    <x v="7"/>
    <n v="3887.2"/>
    <n v="262.10000000000002"/>
    <n v="4149.3"/>
  </r>
  <r>
    <n v="1129"/>
    <x v="14"/>
    <x v="8"/>
    <n v="0"/>
    <n v="0"/>
    <n v="0"/>
  </r>
  <r>
    <n v="1130"/>
    <x v="14"/>
    <x v="9"/>
    <n v="54444.299999999996"/>
    <n v="3934.1"/>
    <n v="58378.399999999994"/>
  </r>
  <r>
    <n v="1131"/>
    <x v="14"/>
    <x v="10"/>
    <n v="0.49457365467786657"/>
    <n v="4.1025892373903861E-2"/>
    <n v="0.28342276105417902"/>
  </r>
  <r>
    <n v="1132"/>
    <x v="14"/>
    <x v="11"/>
    <n v="310"/>
    <n v="0"/>
    <n v="310"/>
  </r>
  <r>
    <n v="1133"/>
    <x v="14"/>
    <x v="12"/>
    <n v="461"/>
    <n v="4272.2"/>
    <n v="4733.2"/>
  </r>
  <r>
    <n v="1134"/>
    <x v="14"/>
    <x v="13"/>
    <n v="0"/>
    <n v="0"/>
    <n v="0"/>
  </r>
  <r>
    <n v="1135"/>
    <x v="14"/>
    <x v="14"/>
    <n v="428.3"/>
    <n v="93.6"/>
    <n v="521.9"/>
  </r>
  <r>
    <n v="1136"/>
    <x v="14"/>
    <x v="15"/>
    <n v="1199.3"/>
    <n v="4365.8"/>
    <n v="5565.1"/>
  </r>
  <r>
    <n v="1137"/>
    <x v="14"/>
    <x v="10"/>
    <n v="1.0894477182279235E-2"/>
    <n v="4.5527780413814972E-2"/>
    <n v="2.7018143826185916E-2"/>
  </r>
  <r>
    <n v="1138"/>
    <x v="14"/>
    <x v="16"/>
    <n v="0"/>
    <n v="0"/>
    <n v="0"/>
  </r>
  <r>
    <n v="1139"/>
    <x v="14"/>
    <x v="17"/>
    <n v="232.7"/>
    <n v="1533.4"/>
    <n v="1766.1000000000001"/>
  </r>
  <r>
    <n v="1140"/>
    <x v="14"/>
    <x v="18"/>
    <n v="87.6"/>
    <n v="380.4"/>
    <n v="468"/>
  </r>
  <r>
    <n v="1141"/>
    <x v="14"/>
    <x v="19"/>
    <n v="447.7"/>
    <n v="8300.2999999999993"/>
    <n v="8748"/>
  </r>
  <r>
    <n v="1142"/>
    <x v="14"/>
    <x v="20"/>
    <n v="0"/>
    <n v="0"/>
    <n v="0"/>
  </r>
  <r>
    <n v="1143"/>
    <x v="14"/>
    <x v="21"/>
    <n v="266.3"/>
    <n v="0"/>
    <n v="266.3"/>
  </r>
  <r>
    <n v="1144"/>
    <x v="14"/>
    <x v="22"/>
    <n v="1034.3"/>
    <n v="10214.099999999999"/>
    <n v="11248.399999999998"/>
  </r>
  <r>
    <n v="1145"/>
    <x v="14"/>
    <x v="10"/>
    <n v="9.3956122318280769E-3"/>
    <n v="0.10651548443005805"/>
    <n v="5.4610139802423956E-2"/>
  </r>
  <r>
    <n v="1146"/>
    <x v="14"/>
    <x v="23"/>
    <n v="2696"/>
    <n v="0"/>
    <n v="2696"/>
  </r>
  <r>
    <n v="1147"/>
    <x v="14"/>
    <x v="24"/>
    <n v="3531.4"/>
    <n v="0"/>
    <n v="3531.4"/>
  </r>
  <r>
    <n v="1148"/>
    <x v="14"/>
    <x v="25"/>
    <n v="0"/>
    <n v="0"/>
    <n v="0"/>
  </r>
  <r>
    <n v="1149"/>
    <x v="14"/>
    <x v="26"/>
    <n v="0"/>
    <n v="0"/>
    <n v="0"/>
  </r>
  <r>
    <n v="1150"/>
    <x v="14"/>
    <x v="27"/>
    <n v="141.1"/>
    <n v="102.2"/>
    <n v="243.3"/>
  </r>
  <r>
    <n v="1151"/>
    <x v="14"/>
    <x v="28"/>
    <n v="6368.5"/>
    <n v="102.2"/>
    <n v="6470.7"/>
  </r>
  <r>
    <n v="1152"/>
    <x v="14"/>
    <x v="10"/>
    <n v="5.7851645072413339E-2"/>
    <n v="1.0657701127609808E-3"/>
    <n v="3.1414764021509257E-2"/>
  </r>
  <r>
    <n v="1153"/>
    <x v="14"/>
    <x v="29"/>
    <n v="371.9"/>
    <n v="1025.2"/>
    <n v="1397.1"/>
  </r>
  <r>
    <n v="1154"/>
    <x v="14"/>
    <x v="30"/>
    <n v="0"/>
    <n v="4872.7"/>
    <n v="4872.7"/>
  </r>
  <r>
    <n v="1155"/>
    <x v="14"/>
    <x v="31"/>
    <n v="519.9"/>
    <n v="28.4"/>
    <n v="548.29999999999995"/>
  </r>
  <r>
    <n v="1156"/>
    <x v="14"/>
    <x v="32"/>
    <n v="812.6"/>
    <n v="36.9"/>
    <n v="849.5"/>
  </r>
  <r>
    <n v="1157"/>
    <x v="14"/>
    <x v="33"/>
    <n v="16854.900000000001"/>
    <n v="29654.7"/>
    <n v="46509.600000000006"/>
  </r>
  <r>
    <n v="1158"/>
    <x v="14"/>
    <x v="34"/>
    <n v="1655.1"/>
    <n v="4499.8"/>
    <n v="6154.9"/>
  </r>
  <r>
    <n v="1159"/>
    <x v="14"/>
    <x v="35"/>
    <n v="937.4"/>
    <n v="393.1"/>
    <n v="1330.5"/>
  </r>
  <r>
    <n v="1160"/>
    <x v="14"/>
    <x v="36"/>
    <n v="21151.800000000003"/>
    <n v="40510.800000000003"/>
    <n v="61662.600000000006"/>
  </r>
  <r>
    <n v="1161"/>
    <x v="14"/>
    <x v="10"/>
    <n v="0.19214358581183522"/>
    <n v="0.42245792450134584"/>
    <n v="0.29936730615740448"/>
  </r>
  <r>
    <n v="1162"/>
    <x v="14"/>
    <x v="37"/>
    <n v="3824.7"/>
    <n v="111.7"/>
    <n v="3936.3999999999996"/>
  </r>
  <r>
    <n v="1163"/>
    <x v="14"/>
    <x v="38"/>
    <n v="1094.2"/>
    <n v="4467.1000000000004"/>
    <n v="5561.3"/>
  </r>
  <r>
    <n v="1164"/>
    <x v="14"/>
    <x v="39"/>
    <n v="3628.1"/>
    <n v="0"/>
    <n v="3628.1"/>
  </r>
  <r>
    <n v="1165"/>
    <x v="14"/>
    <x v="40"/>
    <n v="0"/>
    <n v="0"/>
    <n v="0"/>
  </r>
  <r>
    <n v="1166"/>
    <x v="14"/>
    <x v="41"/>
    <n v="2263.6999999999998"/>
    <n v="0"/>
    <n v="2263.6999999999998"/>
  </r>
  <r>
    <n v="1167"/>
    <x v="14"/>
    <x v="42"/>
    <n v="10810.7"/>
    <n v="4578.8"/>
    <n v="15389.5"/>
  </r>
  <r>
    <n v="1168"/>
    <x v="14"/>
    <x v="10"/>
    <n v="9.8204723150559614E-2"/>
    <n v="4.7749003838649502E-2"/>
    <n v="7.4714870247271054E-2"/>
  </r>
  <r>
    <n v="1169"/>
    <x v="14"/>
    <x v="43"/>
    <n v="266.60000000000002"/>
    <n v="241.2"/>
    <n v="507.8"/>
  </r>
  <r>
    <n v="1170"/>
    <x v="14"/>
    <x v="44"/>
    <n v="1753.4"/>
    <n v="2858.9"/>
    <n v="4612.3"/>
  </r>
  <r>
    <n v="1171"/>
    <x v="14"/>
    <x v="45"/>
    <n v="2841.4"/>
    <n v="1986.4"/>
    <n v="4827.8"/>
  </r>
  <r>
    <n v="1172"/>
    <x v="14"/>
    <x v="46"/>
    <n v="475.2"/>
    <n v="187.6"/>
    <n v="662.8"/>
  </r>
  <r>
    <n v="1173"/>
    <x v="14"/>
    <x v="47"/>
    <n v="3604.4"/>
    <n v="2671.5"/>
    <n v="6275.9"/>
  </r>
  <r>
    <n v="1174"/>
    <x v="14"/>
    <x v="48"/>
    <n v="0"/>
    <n v="0"/>
    <n v="0"/>
  </r>
  <r>
    <n v="1175"/>
    <x v="14"/>
    <x v="49"/>
    <n v="327"/>
    <n v="626.20000000000005"/>
    <n v="953.2"/>
  </r>
  <r>
    <n v="1176"/>
    <x v="14"/>
    <x v="50"/>
    <n v="571.4"/>
    <n v="0"/>
    <n v="571.4"/>
  </r>
  <r>
    <n v="1177"/>
    <x v="14"/>
    <x v="51"/>
    <n v="1862.6"/>
    <n v="0"/>
    <n v="1862.6"/>
  </r>
  <r>
    <n v="1178"/>
    <x v="14"/>
    <x v="52"/>
    <n v="125"/>
    <n v="125"/>
    <n v="250"/>
  </r>
  <r>
    <n v="1179"/>
    <x v="14"/>
    <x v="53"/>
    <n v="0"/>
    <n v="0"/>
    <n v="0"/>
  </r>
  <r>
    <n v="1180"/>
    <x v="14"/>
    <x v="54"/>
    <n v="0"/>
    <n v="0"/>
    <n v="0"/>
  </r>
  <r>
    <n v="1181"/>
    <x v="14"/>
    <x v="55"/>
    <n v="262"/>
    <n v="0"/>
    <n v="262"/>
  </r>
  <r>
    <n v="1182"/>
    <x v="14"/>
    <x v="56"/>
    <n v="12089"/>
    <n v="8696.8000000000011"/>
    <n v="20785.800000000003"/>
  </r>
  <r>
    <n v="1183"/>
    <x v="14"/>
    <x v="10"/>
    <n v="0.10981683870305485"/>
    <n v="9.0692656718783751E-2"/>
    <n v="0.10091350271196119"/>
  </r>
  <r>
    <n v="1184"/>
    <x v="14"/>
    <x v="57"/>
    <n v="0"/>
    <n v="8567.9"/>
    <n v="8567.9"/>
  </r>
  <r>
    <n v="1185"/>
    <x v="14"/>
    <x v="58"/>
    <n v="0"/>
    <n v="8030.4"/>
    <n v="8030.4"/>
  </r>
  <r>
    <n v="1186"/>
    <x v="14"/>
    <x v="59"/>
    <n v="0"/>
    <n v="2416.6"/>
    <n v="2416.6"/>
  </r>
  <r>
    <n v="1187"/>
    <x v="14"/>
    <x v="60"/>
    <n v="0"/>
    <n v="2123.8000000000002"/>
    <n v="2123.8000000000002"/>
  </r>
  <r>
    <n v="1188"/>
    <x v="14"/>
    <x v="61"/>
    <n v="0"/>
    <n v="1049.3"/>
    <n v="1049.3"/>
  </r>
  <r>
    <n v="1189"/>
    <x v="14"/>
    <x v="62"/>
    <n v="0"/>
    <n v="0"/>
    <n v="0"/>
  </r>
  <r>
    <n v="1190"/>
    <x v="14"/>
    <x v="63"/>
    <n v="0"/>
    <n v="22187.999999999996"/>
    <n v="22187.999999999996"/>
  </r>
  <r>
    <n v="1191"/>
    <x v="14"/>
    <x v="10"/>
    <n v="0"/>
    <n v="0.23138265422642504"/>
    <n v="0.10772107872552387"/>
  </r>
  <r>
    <n v="1192"/>
    <x v="14"/>
    <x v="64"/>
    <n v="0"/>
    <n v="31.4"/>
    <n v="31.4"/>
  </r>
  <r>
    <n v="1193"/>
    <x v="14"/>
    <x v="65"/>
    <n v="0"/>
    <n v="0"/>
    <n v="0"/>
  </r>
  <r>
    <n v="1194"/>
    <x v="14"/>
    <x v="66"/>
    <n v="0"/>
    <n v="31.4"/>
    <n v="31.4"/>
  </r>
  <r>
    <n v="1195"/>
    <x v="14"/>
    <x v="10"/>
    <n v="0"/>
    <n v="3.27447960280771E-4"/>
    <n v="1.5244464899862313E-4"/>
  </r>
  <r>
    <n v="1196"/>
    <x v="14"/>
    <x v="67"/>
    <n v="1944.8"/>
    <n v="1041.9000000000001"/>
    <n v="2986.7"/>
  </r>
  <r>
    <n v="1197"/>
    <x v="14"/>
    <x v="10"/>
    <n v="1.7666621549317651E-2"/>
    <n v="1.0865223879507495E-2"/>
    <n v="1.4500204877840374E-2"/>
  </r>
  <r>
    <n v="1198"/>
    <x v="14"/>
    <x v="68"/>
    <n v="1040.5999999999999"/>
    <n v="229.2"/>
    <n v="1269.8"/>
  </r>
  <r>
    <n v="1199"/>
    <x v="14"/>
    <x v="10"/>
    <n v="9.4528416208453023E-3"/>
    <n v="2.3901615444698317E-3"/>
    <n v="6.1647839267022827E-3"/>
  </r>
  <r>
    <n v="1200"/>
    <x v="14"/>
    <x v="69"/>
    <n v="110083.30000000002"/>
    <n v="95893.099999999991"/>
    <n v="205976.4"/>
  </r>
  <r>
    <m/>
    <x v="15"/>
    <x v="7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E134D94-1950-4043-86C0-DC986D79EA41}"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O22" firstHeaderRow="1" firstDataRow="3" firstDataCol="1"/>
  <pivotFields count="6">
    <pivotField showAll="0"/>
    <pivotField axis="axisRow" showAll="0">
      <items count="17">
        <item x="0"/>
        <item x="1"/>
        <item x="2"/>
        <item x="3"/>
        <item x="4"/>
        <item x="5"/>
        <item x="6"/>
        <item x="7"/>
        <item x="8"/>
        <item x="9"/>
        <item x="10"/>
        <item x="11"/>
        <item x="12"/>
        <item x="13"/>
        <item x="14"/>
        <item x="15"/>
        <item t="default"/>
      </items>
    </pivotField>
    <pivotField axis="axisCol" showAll="0">
      <items count="72">
        <item x="23"/>
        <item x="27"/>
        <item x="4"/>
        <item x="5"/>
        <item x="67"/>
        <item x="17"/>
        <item x="19"/>
        <item x="20"/>
        <item x="31"/>
        <item x="8"/>
        <item x="44"/>
        <item x="7"/>
        <item x="3"/>
        <item x="16"/>
        <item x="37"/>
        <item x="40"/>
        <item x="32"/>
        <item x="33"/>
        <item x="38"/>
        <item x="52"/>
        <item x="58"/>
        <item x="0"/>
        <item x="39"/>
        <item x="69"/>
        <item x="46"/>
        <item x="26"/>
        <item x="57"/>
        <item x="12"/>
        <item x="11"/>
        <item x="6"/>
        <item x="34"/>
        <item x="13"/>
        <item x="24"/>
        <item x="68"/>
        <item x="25"/>
        <item x="62"/>
        <item x="55"/>
        <item x="10"/>
        <item x="50"/>
        <item x="18"/>
        <item x="41"/>
        <item x="64"/>
        <item x="54"/>
        <item x="48"/>
        <item x="45"/>
        <item x="2"/>
        <item x="59"/>
        <item x="51"/>
        <item x="29"/>
        <item x="61"/>
        <item x="30"/>
        <item x="35"/>
        <item x="60"/>
        <item x="43"/>
        <item x="14"/>
        <item x="21"/>
        <item x="28"/>
        <item x="63"/>
        <item x="42"/>
        <item x="9"/>
        <item x="15"/>
        <item x="56"/>
        <item x="22"/>
        <item x="66"/>
        <item x="36"/>
        <item x="53"/>
        <item x="65"/>
        <item x="47"/>
        <item x="49"/>
        <item x="1"/>
        <item x="70"/>
        <item t="default"/>
      </items>
    </pivotField>
    <pivotField dataField="1" showAll="0"/>
    <pivotField showAll="0"/>
    <pivotField dataField="1" showAll="0"/>
  </pivotFields>
  <rowFields count="1">
    <field x="1"/>
  </rowFields>
  <rowItems count="17">
    <i>
      <x/>
    </i>
    <i>
      <x v="1"/>
    </i>
    <i>
      <x v="2"/>
    </i>
    <i>
      <x v="3"/>
    </i>
    <i>
      <x v="4"/>
    </i>
    <i>
      <x v="5"/>
    </i>
    <i>
      <x v="6"/>
    </i>
    <i>
      <x v="7"/>
    </i>
    <i>
      <x v="8"/>
    </i>
    <i>
      <x v="9"/>
    </i>
    <i>
      <x v="10"/>
    </i>
    <i>
      <x v="11"/>
    </i>
    <i>
      <x v="12"/>
    </i>
    <i>
      <x v="13"/>
    </i>
    <i>
      <x v="14"/>
    </i>
    <i>
      <x v="15"/>
    </i>
    <i t="grand">
      <x/>
    </i>
  </rowItems>
  <colFields count="2">
    <field x="2"/>
    <field x="-2"/>
  </colFields>
  <colItems count="144">
    <i>
      <x/>
      <x/>
    </i>
    <i r="1" i="1">
      <x v="1"/>
    </i>
    <i>
      <x v="1"/>
      <x/>
    </i>
    <i r="1" i="1">
      <x v="1"/>
    </i>
    <i>
      <x v="2"/>
      <x/>
    </i>
    <i r="1" i="1">
      <x v="1"/>
    </i>
    <i>
      <x v="3"/>
      <x/>
    </i>
    <i r="1" i="1">
      <x v="1"/>
    </i>
    <i>
      <x v="4"/>
      <x/>
    </i>
    <i r="1" i="1">
      <x v="1"/>
    </i>
    <i>
      <x v="5"/>
      <x/>
    </i>
    <i r="1" i="1">
      <x v="1"/>
    </i>
    <i>
      <x v="6"/>
      <x/>
    </i>
    <i r="1" i="1">
      <x v="1"/>
    </i>
    <i>
      <x v="7"/>
      <x/>
    </i>
    <i r="1" i="1">
      <x v="1"/>
    </i>
    <i>
      <x v="8"/>
      <x/>
    </i>
    <i r="1" i="1">
      <x v="1"/>
    </i>
    <i>
      <x v="9"/>
      <x/>
    </i>
    <i r="1" i="1">
      <x v="1"/>
    </i>
    <i>
      <x v="10"/>
      <x/>
    </i>
    <i r="1" i="1">
      <x v="1"/>
    </i>
    <i>
      <x v="11"/>
      <x/>
    </i>
    <i r="1" i="1">
      <x v="1"/>
    </i>
    <i>
      <x v="12"/>
      <x/>
    </i>
    <i r="1" i="1">
      <x v="1"/>
    </i>
    <i>
      <x v="13"/>
      <x/>
    </i>
    <i r="1" i="1">
      <x v="1"/>
    </i>
    <i>
      <x v="14"/>
      <x/>
    </i>
    <i r="1" i="1">
      <x v="1"/>
    </i>
    <i>
      <x v="15"/>
      <x/>
    </i>
    <i r="1" i="1">
      <x v="1"/>
    </i>
    <i>
      <x v="16"/>
      <x/>
    </i>
    <i r="1" i="1">
      <x v="1"/>
    </i>
    <i>
      <x v="17"/>
      <x/>
    </i>
    <i r="1" i="1">
      <x v="1"/>
    </i>
    <i>
      <x v="18"/>
      <x/>
    </i>
    <i r="1" i="1">
      <x v="1"/>
    </i>
    <i>
      <x v="19"/>
      <x/>
    </i>
    <i r="1" i="1">
      <x v="1"/>
    </i>
    <i>
      <x v="20"/>
      <x/>
    </i>
    <i r="1" i="1">
      <x v="1"/>
    </i>
    <i>
      <x v="21"/>
      <x/>
    </i>
    <i r="1" i="1">
      <x v="1"/>
    </i>
    <i>
      <x v="22"/>
      <x/>
    </i>
    <i r="1" i="1">
      <x v="1"/>
    </i>
    <i>
      <x v="23"/>
      <x/>
    </i>
    <i r="1" i="1">
      <x v="1"/>
    </i>
    <i>
      <x v="24"/>
      <x/>
    </i>
    <i r="1" i="1">
      <x v="1"/>
    </i>
    <i>
      <x v="25"/>
      <x/>
    </i>
    <i r="1" i="1">
      <x v="1"/>
    </i>
    <i>
      <x v="26"/>
      <x/>
    </i>
    <i r="1" i="1">
      <x v="1"/>
    </i>
    <i>
      <x v="27"/>
      <x/>
    </i>
    <i r="1" i="1">
      <x v="1"/>
    </i>
    <i>
      <x v="28"/>
      <x/>
    </i>
    <i r="1" i="1">
      <x v="1"/>
    </i>
    <i>
      <x v="29"/>
      <x/>
    </i>
    <i r="1" i="1">
      <x v="1"/>
    </i>
    <i>
      <x v="30"/>
      <x/>
    </i>
    <i r="1" i="1">
      <x v="1"/>
    </i>
    <i>
      <x v="31"/>
      <x/>
    </i>
    <i r="1" i="1">
      <x v="1"/>
    </i>
    <i>
      <x v="32"/>
      <x/>
    </i>
    <i r="1" i="1">
      <x v="1"/>
    </i>
    <i>
      <x v="33"/>
      <x/>
    </i>
    <i r="1" i="1">
      <x v="1"/>
    </i>
    <i>
      <x v="34"/>
      <x/>
    </i>
    <i r="1" i="1">
      <x v="1"/>
    </i>
    <i>
      <x v="35"/>
      <x/>
    </i>
    <i r="1" i="1">
      <x v="1"/>
    </i>
    <i>
      <x v="36"/>
      <x/>
    </i>
    <i r="1" i="1">
      <x v="1"/>
    </i>
    <i>
      <x v="37"/>
      <x/>
    </i>
    <i r="1" i="1">
      <x v="1"/>
    </i>
    <i>
      <x v="38"/>
      <x/>
    </i>
    <i r="1" i="1">
      <x v="1"/>
    </i>
    <i>
      <x v="39"/>
      <x/>
    </i>
    <i r="1" i="1">
      <x v="1"/>
    </i>
    <i>
      <x v="40"/>
      <x/>
    </i>
    <i r="1" i="1">
      <x v="1"/>
    </i>
    <i>
      <x v="41"/>
      <x/>
    </i>
    <i r="1" i="1">
      <x v="1"/>
    </i>
    <i>
      <x v="42"/>
      <x/>
    </i>
    <i r="1" i="1">
      <x v="1"/>
    </i>
    <i>
      <x v="43"/>
      <x/>
    </i>
    <i r="1" i="1">
      <x v="1"/>
    </i>
    <i>
      <x v="44"/>
      <x/>
    </i>
    <i r="1" i="1">
      <x v="1"/>
    </i>
    <i>
      <x v="45"/>
      <x/>
    </i>
    <i r="1" i="1">
      <x v="1"/>
    </i>
    <i>
      <x v="46"/>
      <x/>
    </i>
    <i r="1" i="1">
      <x v="1"/>
    </i>
    <i>
      <x v="47"/>
      <x/>
    </i>
    <i r="1" i="1">
      <x v="1"/>
    </i>
    <i>
      <x v="48"/>
      <x/>
    </i>
    <i r="1" i="1">
      <x v="1"/>
    </i>
    <i>
      <x v="49"/>
      <x/>
    </i>
    <i r="1" i="1">
      <x v="1"/>
    </i>
    <i>
      <x v="50"/>
      <x/>
    </i>
    <i r="1" i="1">
      <x v="1"/>
    </i>
    <i>
      <x v="51"/>
      <x/>
    </i>
    <i r="1" i="1">
      <x v="1"/>
    </i>
    <i>
      <x v="52"/>
      <x/>
    </i>
    <i r="1" i="1">
      <x v="1"/>
    </i>
    <i>
      <x v="53"/>
      <x/>
    </i>
    <i r="1" i="1">
      <x v="1"/>
    </i>
    <i>
      <x v="54"/>
      <x/>
    </i>
    <i r="1" i="1">
      <x v="1"/>
    </i>
    <i>
      <x v="55"/>
      <x/>
    </i>
    <i r="1" i="1">
      <x v="1"/>
    </i>
    <i>
      <x v="56"/>
      <x/>
    </i>
    <i r="1" i="1">
      <x v="1"/>
    </i>
    <i>
      <x v="57"/>
      <x/>
    </i>
    <i r="1" i="1">
      <x v="1"/>
    </i>
    <i>
      <x v="58"/>
      <x/>
    </i>
    <i r="1" i="1">
      <x v="1"/>
    </i>
    <i>
      <x v="59"/>
      <x/>
    </i>
    <i r="1" i="1">
      <x v="1"/>
    </i>
    <i>
      <x v="60"/>
      <x/>
    </i>
    <i r="1" i="1">
      <x v="1"/>
    </i>
    <i>
      <x v="61"/>
      <x/>
    </i>
    <i r="1" i="1">
      <x v="1"/>
    </i>
    <i>
      <x v="62"/>
      <x/>
    </i>
    <i r="1" i="1">
      <x v="1"/>
    </i>
    <i>
      <x v="63"/>
      <x/>
    </i>
    <i r="1" i="1">
      <x v="1"/>
    </i>
    <i>
      <x v="64"/>
      <x/>
    </i>
    <i r="1" i="1">
      <x v="1"/>
    </i>
    <i>
      <x v="65"/>
      <x/>
    </i>
    <i r="1" i="1">
      <x v="1"/>
    </i>
    <i>
      <x v="66"/>
      <x/>
    </i>
    <i r="1" i="1">
      <x v="1"/>
    </i>
    <i>
      <x v="67"/>
      <x/>
    </i>
    <i r="1" i="1">
      <x v="1"/>
    </i>
    <i>
      <x v="68"/>
      <x/>
    </i>
    <i r="1" i="1">
      <x v="1"/>
    </i>
    <i>
      <x v="69"/>
      <x/>
    </i>
    <i r="1" i="1">
      <x v="1"/>
    </i>
    <i>
      <x v="70"/>
      <x/>
    </i>
    <i r="1" i="1">
      <x v="1"/>
    </i>
    <i t="grand">
      <x/>
    </i>
    <i t="grand" i="1">
      <x/>
    </i>
  </colItems>
  <dataFields count="2">
    <dataField name="Sum of FY2022 State" fld="3" baseField="0" baseItem="0"/>
    <dataField name="Sum of FY2022 Total"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CB975D8-447B-584A-BE71-F10F8434BC7F}"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20" firstHeaderRow="0" firstDataRow="1" firstDataCol="1"/>
  <pivotFields count="6">
    <pivotField showAll="0"/>
    <pivotField axis="axisRow" showAll="0">
      <items count="17">
        <item x="0"/>
        <item x="1"/>
        <item x="2"/>
        <item x="3"/>
        <item x="4"/>
        <item x="5"/>
        <item x="6"/>
        <item x="7"/>
        <item x="8"/>
        <item x="9"/>
        <item x="10"/>
        <item x="11"/>
        <item x="12"/>
        <item x="13"/>
        <item x="14"/>
        <item x="15"/>
        <item t="default"/>
      </items>
    </pivotField>
    <pivotField showAll="0"/>
    <pivotField dataField="1" showAll="0"/>
    <pivotField dataField="1" showAll="0"/>
    <pivotField showAll="0"/>
  </pivotFields>
  <rowFields count="1">
    <field x="1"/>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FY2022 State" fld="3" baseField="0" baseItem="0"/>
    <dataField name="Sum of FY2022 Other"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11088F-F8B9-2949-85C5-A8FF21BDCB82}" name="Table1" displayName="Table1" ref="B4:D10" totalsRowShown="0">
  <autoFilter ref="B4:D10" xr:uid="{5B11088F-F8B9-2949-85C5-A8FF21BDCB82}"/>
  <tableColumns count="3">
    <tableColumn id="1" xr3:uid="{353EEC49-706A-6541-8CDB-6D56989FFD63}" name="Column1" dataDxfId="6"/>
    <tableColumn id="2" xr3:uid="{25542F4D-7BC0-0446-B5EA-976C08C14A72}" name="Model 1 - Component level adjustments" dataDxfId="5"/>
    <tableColumn id="3" xr3:uid="{6C3B9C0A-84AC-EA4D-91F8-12D52B7BAFC2}" name="Model 2 - Top down allocation" dataDxfId="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3-03-06T19:31:11.31" personId="{46027FD9-4E19-C842-8ACE-7495C7ABD2B7}" id="{190C609E-DE84-B24F-9FCB-936F632644BE}">
    <text>Assumes Pell students pay 50% of the Per Student amount</text>
  </threadedComment>
  <threadedComment ref="B11" dT="2023-03-06T19:21:24.12" personId="{46027FD9-4E19-C842-8ACE-7495C7ABD2B7}" id="{442C57EA-B2AA-FB4A-8AD0-31A9B8F4ADEE}">
    <text>Removed hospital appropriation</text>
  </threadedComment>
  <threadedComment ref="D15" dT="2023-03-06T19:29:39.72" personId="{46027FD9-4E19-C842-8ACE-7495C7ABD2B7}" id="{43AFC004-C49C-034A-BDA5-324BB35DB977}">
    <text>Weighted Average</text>
  </threadedComment>
</ThreadedComments>
</file>

<file path=xl/threadedComments/threadedComment2.xml><?xml version="1.0" encoding="utf-8"?>
<ThreadedComments xmlns="http://schemas.microsoft.com/office/spreadsheetml/2018/threadedcomments" xmlns:x="http://schemas.openxmlformats.org/spreadsheetml/2006/main">
  <threadedComment ref="F3" dT="2023-06-30T17:22:26.73" personId="{46027FD9-4E19-C842-8ACE-7495C7ABD2B7}" id="{2896D2B2-1AA5-C54F-93AC-515D3CEF8FDA}">
    <text>Could also waive Excess Revenue if a school has reduced T&amp;F revenue by X%.</text>
  </threadedComment>
  <threadedComment ref="G3" dT="2023-06-30T17:19:53.71" personId="{46027FD9-4E19-C842-8ACE-7495C7ABD2B7}" id="{F211C8B1-0225-B44B-A800-103C68FA4EFA}">
    <text>Assumption of holding steady for strawman purposes.</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8.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38BE8-D96E-7A4C-99A7-D316026197CC}">
  <dimension ref="B4:D11"/>
  <sheetViews>
    <sheetView showGridLines="0" topLeftCell="A2" zoomScale="130" zoomScaleNormal="130" workbookViewId="0">
      <selection activeCell="F9" sqref="F9"/>
    </sheetView>
  </sheetViews>
  <sheetFormatPr baseColWidth="10" defaultRowHeight="15" x14ac:dyDescent="0.2"/>
  <cols>
    <col min="2" max="2" width="39" bestFit="1" customWidth="1"/>
    <col min="3" max="3" width="33.83203125" customWidth="1"/>
    <col min="4" max="4" width="34.83203125" customWidth="1"/>
  </cols>
  <sheetData>
    <row r="4" spans="2:4" x14ac:dyDescent="0.2">
      <c r="B4" t="s">
        <v>137</v>
      </c>
      <c r="C4" s="27" t="s">
        <v>134</v>
      </c>
      <c r="D4" s="27" t="s">
        <v>135</v>
      </c>
    </row>
    <row r="5" spans="2:4" ht="80" x14ac:dyDescent="0.2">
      <c r="B5" s="26" t="s">
        <v>136</v>
      </c>
      <c r="C5" s="28" t="s">
        <v>126</v>
      </c>
      <c r="D5" s="28" t="s">
        <v>127</v>
      </c>
    </row>
    <row r="6" spans="2:4" ht="32" x14ac:dyDescent="0.2">
      <c r="B6" s="26" t="s">
        <v>122</v>
      </c>
      <c r="C6" s="28" t="s">
        <v>123</v>
      </c>
      <c r="D6" s="28" t="s">
        <v>124</v>
      </c>
    </row>
    <row r="7" spans="2:4" ht="80" x14ac:dyDescent="0.2">
      <c r="B7" s="26" t="s">
        <v>117</v>
      </c>
      <c r="C7" s="28" t="s">
        <v>128</v>
      </c>
      <c r="D7" s="28" t="s">
        <v>125</v>
      </c>
    </row>
    <row r="8" spans="2:4" ht="32" x14ac:dyDescent="0.2">
      <c r="B8" s="26" t="s">
        <v>118</v>
      </c>
      <c r="C8" s="28" t="s">
        <v>129</v>
      </c>
      <c r="D8" s="28" t="s">
        <v>130</v>
      </c>
    </row>
    <row r="9" spans="2:4" ht="96" x14ac:dyDescent="0.2">
      <c r="B9" s="26" t="s">
        <v>119</v>
      </c>
      <c r="C9" s="28" t="s">
        <v>131</v>
      </c>
      <c r="D9" s="28" t="s">
        <v>132</v>
      </c>
    </row>
    <row r="10" spans="2:4" ht="48" x14ac:dyDescent="0.2">
      <c r="B10" s="26" t="s">
        <v>120</v>
      </c>
      <c r="C10" s="28" t="s">
        <v>138</v>
      </c>
      <c r="D10" s="28" t="s">
        <v>133</v>
      </c>
    </row>
    <row r="11" spans="2:4" x14ac:dyDescent="0.2">
      <c r="C11" s="21"/>
      <c r="D11" s="21"/>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EBCB0-5F0B-5348-A95D-1EB4DA112E41}">
  <dimension ref="B2:I27"/>
  <sheetViews>
    <sheetView zoomScale="120" zoomScaleNormal="120" workbookViewId="0">
      <selection activeCell="E31" sqref="E31"/>
    </sheetView>
  </sheetViews>
  <sheetFormatPr baseColWidth="10" defaultRowHeight="15" x14ac:dyDescent="0.2"/>
  <cols>
    <col min="2" max="2" width="34.33203125" bestFit="1" customWidth="1"/>
    <col min="3" max="8" width="20" customWidth="1"/>
    <col min="9" max="10" width="16.5" customWidth="1"/>
  </cols>
  <sheetData>
    <row r="2" spans="2:9" ht="16" x14ac:dyDescent="0.2">
      <c r="B2" s="135" t="s">
        <v>451</v>
      </c>
    </row>
    <row r="3" spans="2:9" ht="32" x14ac:dyDescent="0.2">
      <c r="B3" s="58" t="s">
        <v>95</v>
      </c>
      <c r="C3" s="37" t="s">
        <v>384</v>
      </c>
      <c r="D3" s="56" t="s">
        <v>385</v>
      </c>
      <c r="E3" s="37" t="s">
        <v>386</v>
      </c>
      <c r="F3" s="37" t="s">
        <v>387</v>
      </c>
      <c r="G3" s="37" t="s">
        <v>388</v>
      </c>
      <c r="H3" s="37" t="s">
        <v>360</v>
      </c>
    </row>
    <row r="4" spans="2:9" x14ac:dyDescent="0.2">
      <c r="B4" s="1" t="s">
        <v>355</v>
      </c>
      <c r="C4" s="25">
        <f>'ESS Calculation'!P4</f>
        <v>29990106.0472438</v>
      </c>
      <c r="D4" s="29">
        <f>C4*1.05</f>
        <v>31489611.349605992</v>
      </c>
      <c r="E4" s="210">
        <v>30000000</v>
      </c>
      <c r="F4" s="29">
        <f>IF(E4&gt;D4,E4-D4,0)</f>
        <v>0</v>
      </c>
      <c r="G4" s="29">
        <f>C4</f>
        <v>29990106.0472438</v>
      </c>
      <c r="H4" s="29">
        <f>G4+F4</f>
        <v>29990106.0472438</v>
      </c>
    </row>
    <row r="5" spans="2:9" x14ac:dyDescent="0.2">
      <c r="B5" s="1" t="s">
        <v>356</v>
      </c>
      <c r="C5" s="25">
        <f>'ESS Calculation'!P5</f>
        <v>119070311.04631294</v>
      </c>
      <c r="D5" s="29">
        <f>C5*1.05</f>
        <v>125023826.5986286</v>
      </c>
      <c r="E5" s="210">
        <v>118000000</v>
      </c>
      <c r="F5" s="29">
        <f t="shared" ref="F5:F8" si="0">IF(E5&gt;D5,E5-D5,0)</f>
        <v>0</v>
      </c>
      <c r="G5" s="29">
        <f t="shared" ref="G5:G8" si="1">C5</f>
        <v>119070311.04631294</v>
      </c>
      <c r="H5" s="29">
        <f t="shared" ref="H5:H8" si="2">G5+F5</f>
        <v>119070311.04631294</v>
      </c>
    </row>
    <row r="6" spans="2:9" x14ac:dyDescent="0.2">
      <c r="B6" s="1" t="s">
        <v>357</v>
      </c>
      <c r="C6" s="25">
        <f>'ESS Calculation'!P6</f>
        <v>32809677.398874886</v>
      </c>
      <c r="D6" s="29">
        <f>C6*1.05</f>
        <v>34450161.268818632</v>
      </c>
      <c r="E6" s="210">
        <v>35000000</v>
      </c>
      <c r="F6" s="29">
        <f t="shared" si="0"/>
        <v>549838.73118136823</v>
      </c>
      <c r="G6" s="29">
        <f t="shared" si="1"/>
        <v>32809677.398874886</v>
      </c>
      <c r="H6" s="29">
        <f t="shared" si="2"/>
        <v>33359516.130056255</v>
      </c>
    </row>
    <row r="7" spans="2:9" x14ac:dyDescent="0.2">
      <c r="B7" s="1" t="s">
        <v>358</v>
      </c>
      <c r="C7" s="25">
        <f>'ESS Calculation'!P7</f>
        <v>95984209.324030712</v>
      </c>
      <c r="D7" s="29">
        <f>C7*1.05</f>
        <v>100783419.79023226</v>
      </c>
      <c r="E7" s="210">
        <v>105000000</v>
      </c>
      <c r="F7" s="29">
        <f t="shared" si="0"/>
        <v>4216580.2097677439</v>
      </c>
      <c r="G7" s="29">
        <f t="shared" si="1"/>
        <v>95984209.324030712</v>
      </c>
      <c r="H7" s="29">
        <f t="shared" si="2"/>
        <v>100200789.53379846</v>
      </c>
    </row>
    <row r="8" spans="2:9" x14ac:dyDescent="0.2">
      <c r="B8" s="1" t="s">
        <v>376</v>
      </c>
      <c r="C8" s="25">
        <f>'ESS Calculation'!P8</f>
        <v>53112901.488312207</v>
      </c>
      <c r="D8" s="29">
        <f>C8*1.05</f>
        <v>55768546.562727816</v>
      </c>
      <c r="E8" s="210">
        <v>50000000</v>
      </c>
      <c r="F8" s="29">
        <f t="shared" si="0"/>
        <v>0</v>
      </c>
      <c r="G8" s="29">
        <f t="shared" si="1"/>
        <v>53112901.488312207</v>
      </c>
      <c r="H8" s="29">
        <f t="shared" si="2"/>
        <v>53112901.488312207</v>
      </c>
    </row>
    <row r="9" spans="2:9" x14ac:dyDescent="0.2">
      <c r="C9" s="25"/>
      <c r="D9" s="29"/>
      <c r="E9" s="29"/>
      <c r="F9" s="29"/>
      <c r="G9" s="29"/>
      <c r="H9" s="29"/>
    </row>
    <row r="13" spans="2:9" ht="16" x14ac:dyDescent="0.2">
      <c r="B13" s="135" t="s">
        <v>450</v>
      </c>
    </row>
    <row r="14" spans="2:9" s="21" customFormat="1" ht="48" x14ac:dyDescent="0.2">
      <c r="B14" s="58" t="s">
        <v>95</v>
      </c>
      <c r="C14" s="37" t="s">
        <v>349</v>
      </c>
      <c r="D14" s="37" t="s">
        <v>350</v>
      </c>
      <c r="E14" s="37" t="s">
        <v>351</v>
      </c>
      <c r="F14" s="37" t="s">
        <v>352</v>
      </c>
      <c r="G14" s="37" t="s">
        <v>359</v>
      </c>
      <c r="H14" s="37" t="s">
        <v>353</v>
      </c>
      <c r="I14" s="37" t="s">
        <v>360</v>
      </c>
    </row>
    <row r="15" spans="2:9" x14ac:dyDescent="0.2">
      <c r="B15" s="1" t="s">
        <v>355</v>
      </c>
      <c r="C15" s="147">
        <v>0.5</v>
      </c>
      <c r="D15" s="147">
        <v>0.61</v>
      </c>
      <c r="E15" s="147">
        <v>0.6</v>
      </c>
      <c r="F15" s="147">
        <v>0.79</v>
      </c>
      <c r="G15" s="25">
        <f>'ESS Calculation'!P4</f>
        <v>29990106.0472438</v>
      </c>
      <c r="H15" s="25">
        <f>IF(E15&gt;$E$23,G15*0.05,0)</f>
        <v>0</v>
      </c>
      <c r="I15" s="25">
        <f>G15-H15</f>
        <v>29990106.0472438</v>
      </c>
    </row>
    <row r="16" spans="2:9" x14ac:dyDescent="0.2">
      <c r="B16" s="1" t="s">
        <v>356</v>
      </c>
      <c r="C16" s="147">
        <v>0.35</v>
      </c>
      <c r="D16" s="147">
        <v>0.45</v>
      </c>
      <c r="E16" s="147">
        <v>0.6</v>
      </c>
      <c r="F16" s="147">
        <v>0.81</v>
      </c>
      <c r="G16" s="25">
        <f>'ESS Calculation'!P5</f>
        <v>119070311.04631294</v>
      </c>
      <c r="H16" s="25">
        <f>IF(E16&gt;$E$23,G16*0.05,0)</f>
        <v>0</v>
      </c>
      <c r="I16" s="25">
        <f>G16-H16</f>
        <v>119070311.04631294</v>
      </c>
    </row>
    <row r="17" spans="2:9" x14ac:dyDescent="0.2">
      <c r="B17" s="1" t="s">
        <v>357</v>
      </c>
      <c r="C17" s="147">
        <v>0.63</v>
      </c>
      <c r="D17" s="147">
        <v>0.7</v>
      </c>
      <c r="E17" s="147">
        <v>0.83</v>
      </c>
      <c r="F17" s="147">
        <v>0.97</v>
      </c>
      <c r="G17" s="25">
        <f>'ESS Calculation'!P6</f>
        <v>32809677.398874886</v>
      </c>
      <c r="H17" s="25">
        <f>IF(E17&gt;$E$23,G17*0.05,0)</f>
        <v>1640483.8699437445</v>
      </c>
      <c r="I17" s="25">
        <f>G17-H17</f>
        <v>31169193.528931141</v>
      </c>
    </row>
    <row r="18" spans="2:9" x14ac:dyDescent="0.2">
      <c r="B18" s="1" t="s">
        <v>358</v>
      </c>
      <c r="C18" s="147">
        <v>0.33</v>
      </c>
      <c r="D18" s="147">
        <v>0.43</v>
      </c>
      <c r="E18" s="147">
        <v>0.43</v>
      </c>
      <c r="F18" s="147">
        <v>0.6</v>
      </c>
      <c r="G18" s="25">
        <f>'ESS Calculation'!P7</f>
        <v>95984209.324030712</v>
      </c>
      <c r="H18" s="25">
        <f>IF(E18&gt;$E$23,G18*0.05,0)</f>
        <v>0</v>
      </c>
      <c r="I18" s="25">
        <f>G18-H18</f>
        <v>95984209.324030712</v>
      </c>
    </row>
    <row r="19" spans="2:9" x14ac:dyDescent="0.2">
      <c r="B19" s="1" t="s">
        <v>376</v>
      </c>
      <c r="C19" s="147">
        <v>0.63</v>
      </c>
      <c r="D19" s="147">
        <v>0.7</v>
      </c>
      <c r="E19" s="147">
        <v>0.77</v>
      </c>
      <c r="F19" s="147">
        <v>0.9</v>
      </c>
      <c r="G19" s="25">
        <f>'ESS Calculation'!P8</f>
        <v>53112901.488312207</v>
      </c>
      <c r="H19" s="25">
        <f>IF(E19&gt;$E$23,G19*0.05,0)</f>
        <v>2655645.0744156106</v>
      </c>
      <c r="I19" s="25">
        <f>G19-H19</f>
        <v>50457256.413896598</v>
      </c>
    </row>
    <row r="20" spans="2:9" x14ac:dyDescent="0.2">
      <c r="B20" s="149"/>
      <c r="C20" s="147"/>
      <c r="D20" s="147"/>
      <c r="E20" s="147"/>
      <c r="F20" s="147"/>
      <c r="G20" s="25"/>
      <c r="H20" s="25"/>
      <c r="I20" s="25"/>
    </row>
    <row r="21" spans="2:9" ht="16" customHeight="1" x14ac:dyDescent="0.2">
      <c r="B21" s="153" t="s">
        <v>184</v>
      </c>
      <c r="C21" s="146">
        <v>0.44677798766796167</v>
      </c>
      <c r="D21" s="146">
        <v>0.5468421427807677</v>
      </c>
      <c r="E21" s="146">
        <v>0.61072109641861727</v>
      </c>
      <c r="F21" s="146">
        <v>0.82744818625704641</v>
      </c>
      <c r="H21" s="281" t="s">
        <v>453</v>
      </c>
    </row>
    <row r="22" spans="2:9" ht="16" thickBot="1" x14ac:dyDescent="0.25">
      <c r="B22" s="195" t="s">
        <v>354</v>
      </c>
      <c r="C22" s="196">
        <v>0.49389623601220756</v>
      </c>
      <c r="D22" s="196">
        <v>0.6056951508986097</v>
      </c>
      <c r="E22" s="196">
        <v>0.66401302160402487</v>
      </c>
      <c r="F22" s="196">
        <v>0.88785143533589816</v>
      </c>
      <c r="H22" s="281"/>
    </row>
    <row r="23" spans="2:9" ht="16" thickBot="1" x14ac:dyDescent="0.25">
      <c r="B23" s="197" t="s">
        <v>452</v>
      </c>
      <c r="C23" s="198">
        <v>0.55000000000000004</v>
      </c>
      <c r="D23" s="198">
        <v>0.65</v>
      </c>
      <c r="E23" s="198">
        <v>0.7</v>
      </c>
      <c r="F23" s="199">
        <v>0.95</v>
      </c>
      <c r="H23" s="281"/>
    </row>
    <row r="24" spans="2:9" x14ac:dyDescent="0.2">
      <c r="H24" s="281"/>
    </row>
    <row r="25" spans="2:9" x14ac:dyDescent="0.2">
      <c r="H25" s="281"/>
    </row>
    <row r="26" spans="2:9" x14ac:dyDescent="0.2">
      <c r="H26" s="281"/>
    </row>
    <row r="27" spans="2:9" x14ac:dyDescent="0.2">
      <c r="H27" s="21"/>
    </row>
  </sheetData>
  <sheetProtection algorithmName="SHA-512" hashValue="kKcUttXbAo0b0ddfnnxi2+6yrXTMIhp4pfNe1NmC4TF+TemKWRgeBcrbvoGo16Kps/dIF6rbVQarI/4JN8wZDQ==" saltValue="voutY8hLFkTYwQq9rlNhJA==" spinCount="100000" sheet="1" objects="1" scenarios="1"/>
  <mergeCells count="1">
    <mergeCell ref="H21:H26"/>
  </mergeCells>
  <conditionalFormatting sqref="C15:C20">
    <cfRule type="cellIs" dxfId="3" priority="23" operator="greaterThan">
      <formula>$C$23</formula>
    </cfRule>
  </conditionalFormatting>
  <conditionalFormatting sqref="D15:D20">
    <cfRule type="cellIs" dxfId="2" priority="24" operator="greaterThan">
      <formula>$D$23</formula>
    </cfRule>
  </conditionalFormatting>
  <conditionalFormatting sqref="E15:E20">
    <cfRule type="cellIs" dxfId="1" priority="25" operator="greaterThan">
      <formula>$E$23</formula>
    </cfRule>
  </conditionalFormatting>
  <conditionalFormatting sqref="F15:F20">
    <cfRule type="cellIs" dxfId="0" priority="26" operator="greaterThan">
      <formula>$F$23</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5EDA-2189-2D40-8566-B8F584C96BCD}">
  <dimension ref="A1:F8"/>
  <sheetViews>
    <sheetView zoomScale="130" zoomScaleNormal="130" workbookViewId="0">
      <selection activeCell="A11" sqref="A11"/>
    </sheetView>
  </sheetViews>
  <sheetFormatPr baseColWidth="10" defaultRowHeight="15" x14ac:dyDescent="0.2"/>
  <cols>
    <col min="1" max="1" width="34.5" style="184" bestFit="1" customWidth="1"/>
    <col min="2" max="3" width="16.6640625" style="184" customWidth="1"/>
    <col min="4" max="4" width="22.83203125" style="184" bestFit="1" customWidth="1"/>
    <col min="5" max="5" width="23.83203125" style="184" bestFit="1" customWidth="1"/>
    <col min="6" max="6" width="13.5" style="184" customWidth="1"/>
    <col min="7" max="7" width="13.33203125" style="184" customWidth="1"/>
    <col min="8" max="9" width="19.1640625" style="184" customWidth="1"/>
    <col min="10" max="16384" width="10.83203125" style="184"/>
  </cols>
  <sheetData>
    <row r="1" spans="1:6" ht="16" x14ac:dyDescent="0.2">
      <c r="A1" s="187"/>
      <c r="B1" s="186"/>
      <c r="C1" s="186"/>
      <c r="D1" s="186"/>
      <c r="E1" s="186"/>
      <c r="F1" s="186"/>
    </row>
    <row r="2" spans="1:6" x14ac:dyDescent="0.2">
      <c r="A2" s="189" t="s">
        <v>378</v>
      </c>
    </row>
    <row r="3" spans="1:6" x14ac:dyDescent="0.2">
      <c r="A3" s="185" t="s">
        <v>95</v>
      </c>
      <c r="B3" s="184" t="s">
        <v>367</v>
      </c>
      <c r="C3" s="184" t="s">
        <v>368</v>
      </c>
      <c r="D3" s="184" t="s">
        <v>369</v>
      </c>
      <c r="E3" s="184" t="s">
        <v>379</v>
      </c>
      <c r="F3" s="184" t="s">
        <v>380</v>
      </c>
    </row>
    <row r="4" spans="1:6" x14ac:dyDescent="0.2">
      <c r="A4" s="1" t="s">
        <v>355</v>
      </c>
      <c r="B4" s="188">
        <v>0.19399739016963896</v>
      </c>
      <c r="C4" s="188">
        <v>1.7675076120052195E-2</v>
      </c>
      <c r="D4" s="188">
        <v>0.21220748151370161</v>
      </c>
      <c r="E4" s="188">
        <v>0.17409743366681166</v>
      </c>
      <c r="F4" s="188">
        <v>0.40202261852979554</v>
      </c>
    </row>
    <row r="5" spans="1:6" x14ac:dyDescent="0.2">
      <c r="A5" s="1" t="s">
        <v>356</v>
      </c>
      <c r="B5" s="188">
        <v>0.10650825907977698</v>
      </c>
      <c r="C5" s="188">
        <v>3.6838101193267678E-2</v>
      </c>
      <c r="D5" s="188">
        <v>0.32213224949194935</v>
      </c>
      <c r="E5" s="188">
        <v>0.24808503986243552</v>
      </c>
      <c r="F5" s="188">
        <v>0.28643635037257048</v>
      </c>
    </row>
    <row r="6" spans="1:6" x14ac:dyDescent="0.2">
      <c r="A6" s="1" t="s">
        <v>357</v>
      </c>
      <c r="B6" s="188">
        <v>0.13545756569012382</v>
      </c>
      <c r="C6" s="188">
        <v>1.3917245545152522E-2</v>
      </c>
      <c r="D6" s="188">
        <v>0.12863787375415284</v>
      </c>
      <c r="E6" s="188">
        <v>0.17003926306251888</v>
      </c>
      <c r="F6" s="188">
        <v>0.55194805194805197</v>
      </c>
    </row>
    <row r="7" spans="1:6" x14ac:dyDescent="0.2">
      <c r="A7" s="1" t="s">
        <v>358</v>
      </c>
      <c r="B7" s="188">
        <v>0.19216230810769111</v>
      </c>
      <c r="C7" s="188">
        <v>0.12302090565455527</v>
      </c>
      <c r="D7" s="188">
        <v>4.0212913677389488E-2</v>
      </c>
      <c r="E7" s="188">
        <v>0.28349919000231427</v>
      </c>
      <c r="F7" s="188">
        <v>0.36110468255804984</v>
      </c>
    </row>
    <row r="8" spans="1:6" x14ac:dyDescent="0.2">
      <c r="A8" s="1" t="s">
        <v>376</v>
      </c>
      <c r="B8" s="188">
        <v>0.2180947450168263</v>
      </c>
      <c r="C8" s="188">
        <v>5.5852964017602896E-2</v>
      </c>
      <c r="D8" s="188">
        <v>8.8464923634480996E-2</v>
      </c>
      <c r="E8" s="188">
        <v>0.23867460522909656</v>
      </c>
      <c r="F8" s="188">
        <v>0.39891276210199328</v>
      </c>
    </row>
  </sheetData>
  <sheetProtection algorithmName="SHA-512" hashValue="3xkHNby2nEn9rEUXecf570pstMzVxDtZHE5KRyXUfLE2rjUwo3djcDc2/G0DXAWbVqun0jrRNRbwNOeaeO7S9w==" saltValue="r6HF0HCstLxhXLPT7S/Xt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E7A2-898A-5148-B2FD-3893DCF391E6}">
  <dimension ref="A1:Q35"/>
  <sheetViews>
    <sheetView zoomScale="130" zoomScaleNormal="130" workbookViewId="0"/>
  </sheetViews>
  <sheetFormatPr baseColWidth="10" defaultColWidth="8.83203125" defaultRowHeight="15" x14ac:dyDescent="0.2"/>
  <cols>
    <col min="1" max="1" width="32.6640625" customWidth="1"/>
    <col min="2" max="2" width="20.83203125" customWidth="1"/>
    <col min="3" max="7" width="9" bestFit="1" customWidth="1"/>
    <col min="8" max="8" width="9.1640625" bestFit="1" customWidth="1"/>
    <col min="9" max="11" width="9" bestFit="1" customWidth="1"/>
    <col min="16" max="16" width="9.33203125" customWidth="1"/>
    <col min="17" max="17" width="10.83203125" customWidth="1"/>
  </cols>
  <sheetData>
    <row r="1" spans="1:17" ht="16" thickBot="1" x14ac:dyDescent="0.25"/>
    <row r="2" spans="1:17" x14ac:dyDescent="0.2">
      <c r="P2" s="274" t="s">
        <v>343</v>
      </c>
      <c r="Q2" s="275"/>
    </row>
    <row r="3" spans="1:17" ht="16" thickBot="1" x14ac:dyDescent="0.25">
      <c r="A3" t="s">
        <v>192</v>
      </c>
      <c r="P3" s="269" t="s">
        <v>344</v>
      </c>
      <c r="Q3" s="270">
        <v>1.3</v>
      </c>
    </row>
    <row r="4" spans="1:17" ht="16" thickTop="1" x14ac:dyDescent="0.2">
      <c r="A4" s="80"/>
      <c r="B4" s="81"/>
      <c r="C4" s="322" t="s">
        <v>193</v>
      </c>
      <c r="D4" s="323"/>
      <c r="E4" s="323"/>
      <c r="F4" s="323"/>
      <c r="G4" s="323"/>
      <c r="H4" s="323"/>
      <c r="I4" s="323"/>
      <c r="J4" s="323"/>
      <c r="K4" s="323"/>
      <c r="L4" s="324"/>
      <c r="M4" s="82"/>
      <c r="P4" s="269" t="s">
        <v>345</v>
      </c>
      <c r="Q4" s="270">
        <v>1.2</v>
      </c>
    </row>
    <row r="5" spans="1:17" x14ac:dyDescent="0.2">
      <c r="A5" s="83"/>
      <c r="B5" s="84"/>
      <c r="C5" s="325" t="s">
        <v>194</v>
      </c>
      <c r="D5" s="326"/>
      <c r="E5" s="326" t="s">
        <v>195</v>
      </c>
      <c r="F5" s="326"/>
      <c r="G5" s="326" t="s">
        <v>196</v>
      </c>
      <c r="H5" s="326"/>
      <c r="I5" s="326" t="s">
        <v>197</v>
      </c>
      <c r="J5" s="326"/>
      <c r="K5" s="326" t="s">
        <v>198</v>
      </c>
      <c r="L5" s="327"/>
      <c r="M5" s="82"/>
      <c r="P5" s="269" t="s">
        <v>346</v>
      </c>
      <c r="Q5" s="270">
        <v>1.1000000000000001</v>
      </c>
    </row>
    <row r="6" spans="1:17" ht="16" thickBot="1" x14ac:dyDescent="0.25">
      <c r="A6" s="85" t="s">
        <v>199</v>
      </c>
      <c r="B6" s="84" t="s">
        <v>191</v>
      </c>
      <c r="C6" s="86" t="s">
        <v>200</v>
      </c>
      <c r="D6" s="87" t="s">
        <v>201</v>
      </c>
      <c r="E6" s="87" t="s">
        <v>200</v>
      </c>
      <c r="F6" s="87" t="s">
        <v>201</v>
      </c>
      <c r="G6" s="87" t="s">
        <v>200</v>
      </c>
      <c r="H6" s="87" t="s">
        <v>201</v>
      </c>
      <c r="I6" s="87" t="s">
        <v>200</v>
      </c>
      <c r="J6" s="87" t="s">
        <v>201</v>
      </c>
      <c r="K6" s="87" t="s">
        <v>200</v>
      </c>
      <c r="L6" s="88" t="s">
        <v>201</v>
      </c>
      <c r="M6" s="82" t="s">
        <v>426</v>
      </c>
      <c r="P6" s="273" t="s">
        <v>460</v>
      </c>
      <c r="Q6" s="270"/>
    </row>
    <row r="7" spans="1:17" ht="16" thickTop="1" x14ac:dyDescent="0.2">
      <c r="A7" s="1" t="s">
        <v>355</v>
      </c>
      <c r="B7" s="90">
        <f>'Expend, FTE, Headcount, Sq Ft'!C49</f>
        <v>3000</v>
      </c>
      <c r="C7" s="91">
        <f>$B7*D7</f>
        <v>330</v>
      </c>
      <c r="D7" s="92">
        <v>0.11</v>
      </c>
      <c r="E7" s="91">
        <f>$B7*F7</f>
        <v>60</v>
      </c>
      <c r="F7" s="92">
        <v>0.02</v>
      </c>
      <c r="G7" s="91">
        <f>$B7*H7</f>
        <v>630</v>
      </c>
      <c r="H7" s="92">
        <v>0.21</v>
      </c>
      <c r="I7" s="91">
        <f>$B7*J7</f>
        <v>930</v>
      </c>
      <c r="J7" s="92">
        <v>0.31</v>
      </c>
      <c r="K7" s="91">
        <f>$B7*L7</f>
        <v>1050</v>
      </c>
      <c r="L7" s="93">
        <v>0.35</v>
      </c>
      <c r="M7" s="89">
        <f>SUM(L7,J7)</f>
        <v>0.65999999999999992</v>
      </c>
      <c r="P7" s="269">
        <f>IF(M7&gt;0.75,$Q$3,IF(AND(M7&gt;0.6,M7&lt;0.75),$Q$4,IF(M7&lt;0.5,1,$Q$5)))</f>
        <v>1.2</v>
      </c>
      <c r="Q7" s="270"/>
    </row>
    <row r="8" spans="1:17" x14ac:dyDescent="0.2">
      <c r="A8" s="1" t="s">
        <v>356</v>
      </c>
      <c r="B8" s="90">
        <f>'Expend, FTE, Headcount, Sq Ft'!C50</f>
        <v>15000</v>
      </c>
      <c r="C8" s="91">
        <f>$B8*D8</f>
        <v>6450</v>
      </c>
      <c r="D8" s="92">
        <v>0.43</v>
      </c>
      <c r="E8" s="91">
        <f>$B8*F8</f>
        <v>1200</v>
      </c>
      <c r="F8" s="92">
        <v>0.08</v>
      </c>
      <c r="G8" s="91">
        <f>$B8*H8</f>
        <v>3000</v>
      </c>
      <c r="H8" s="92">
        <v>0.2</v>
      </c>
      <c r="I8" s="91">
        <f>$B8*J8</f>
        <v>2700</v>
      </c>
      <c r="J8" s="92">
        <v>0.18</v>
      </c>
      <c r="K8" s="91">
        <f>$B8*L8</f>
        <v>1650</v>
      </c>
      <c r="L8" s="93">
        <v>0.11</v>
      </c>
      <c r="M8" s="89">
        <f t="shared" ref="M8:M11" si="0">SUM(L8,J8)</f>
        <v>0.28999999999999998</v>
      </c>
      <c r="P8" s="269">
        <f t="shared" ref="P8:P11" si="1">IF(M8&gt;0.75,$Q$3,IF(AND(M8&gt;0.6,M8&lt;0.75),$Q$4,IF(M8&lt;0.5,1,$Q$5)))</f>
        <v>1</v>
      </c>
      <c r="Q8" s="270"/>
    </row>
    <row r="9" spans="1:17" x14ac:dyDescent="0.2">
      <c r="A9" s="1" t="s">
        <v>357</v>
      </c>
      <c r="B9" s="90">
        <f>'Expend, FTE, Headcount, Sq Ft'!C51</f>
        <v>5000</v>
      </c>
      <c r="C9" s="91">
        <f>$B9*D9</f>
        <v>375</v>
      </c>
      <c r="D9" s="92">
        <v>7.4999999999999997E-2</v>
      </c>
      <c r="E9" s="91">
        <f>$B9*F9</f>
        <v>75</v>
      </c>
      <c r="F9" s="92">
        <v>1.4999999999999999E-2</v>
      </c>
      <c r="G9" s="91">
        <f>$B9*H9</f>
        <v>850.00000000000011</v>
      </c>
      <c r="H9" s="92">
        <v>0.17</v>
      </c>
      <c r="I9" s="91">
        <f>$B9*J9</f>
        <v>1250</v>
      </c>
      <c r="J9" s="92">
        <v>0.25</v>
      </c>
      <c r="K9" s="91">
        <f>$B9*L9</f>
        <v>2450</v>
      </c>
      <c r="L9" s="93">
        <v>0.49</v>
      </c>
      <c r="M9" s="89">
        <f t="shared" si="0"/>
        <v>0.74</v>
      </c>
      <c r="P9" s="269">
        <f t="shared" si="1"/>
        <v>1.2</v>
      </c>
      <c r="Q9" s="270"/>
    </row>
    <row r="10" spans="1:17" x14ac:dyDescent="0.2">
      <c r="A10" s="1" t="s">
        <v>358</v>
      </c>
      <c r="B10" s="90">
        <f>'Expend, FTE, Headcount, Sq Ft'!C52</f>
        <v>10000</v>
      </c>
      <c r="C10" s="91">
        <f>$B10*D10</f>
        <v>1650</v>
      </c>
      <c r="D10" s="92">
        <v>0.16500000000000001</v>
      </c>
      <c r="E10" s="91">
        <f>$B10*F10</f>
        <v>1550</v>
      </c>
      <c r="F10" s="92">
        <v>0.155</v>
      </c>
      <c r="G10" s="91">
        <f>$B10*H10</f>
        <v>800</v>
      </c>
      <c r="H10" s="92">
        <v>0.08</v>
      </c>
      <c r="I10" s="91">
        <f>$B10*J10</f>
        <v>3500</v>
      </c>
      <c r="J10" s="92">
        <v>0.35</v>
      </c>
      <c r="K10" s="91">
        <f>$B10*L10</f>
        <v>2500</v>
      </c>
      <c r="L10" s="93">
        <v>0.25</v>
      </c>
      <c r="M10" s="89">
        <f t="shared" si="0"/>
        <v>0.6</v>
      </c>
      <c r="P10" s="269">
        <f>IF(M10&gt;0.75,$Q$3,IF(AND(M10&gt;0.6,M10&lt;0.75),$Q$4,IF(M10&lt;0.5,1,$Q$5)))</f>
        <v>1.1000000000000001</v>
      </c>
      <c r="Q10" s="270"/>
    </row>
    <row r="11" spans="1:17" ht="16" thickBot="1" x14ac:dyDescent="0.25">
      <c r="A11" s="1" t="s">
        <v>376</v>
      </c>
      <c r="B11" s="90">
        <f>'Expend, FTE, Headcount, Sq Ft'!C53</f>
        <v>6000</v>
      </c>
      <c r="C11" s="91">
        <f>$B11*D11</f>
        <v>840.00000000000011</v>
      </c>
      <c r="D11" s="92">
        <v>0.14000000000000001</v>
      </c>
      <c r="E11" s="91">
        <f>$B11*F11</f>
        <v>660</v>
      </c>
      <c r="F11" s="92">
        <v>0.11</v>
      </c>
      <c r="G11" s="91">
        <f>$B11*H11</f>
        <v>720</v>
      </c>
      <c r="H11" s="92">
        <v>0.12</v>
      </c>
      <c r="I11" s="91">
        <f>$B11*J11</f>
        <v>1980</v>
      </c>
      <c r="J11" s="92">
        <v>0.33</v>
      </c>
      <c r="K11" s="91">
        <f>$B11*L11</f>
        <v>1800</v>
      </c>
      <c r="L11" s="93">
        <v>0.3</v>
      </c>
      <c r="M11" s="89">
        <f t="shared" si="0"/>
        <v>0.63</v>
      </c>
      <c r="P11" s="271">
        <f t="shared" si="1"/>
        <v>1.2</v>
      </c>
      <c r="Q11" s="272"/>
    </row>
    <row r="12" spans="1:17" x14ac:dyDescent="0.2">
      <c r="I12" s="180"/>
    </row>
    <row r="13" spans="1:17" x14ac:dyDescent="0.2">
      <c r="A13" s="321" t="s">
        <v>442</v>
      </c>
      <c r="B13" s="321"/>
      <c r="F13" s="52" t="s">
        <v>443</v>
      </c>
      <c r="G13" s="52"/>
    </row>
    <row r="14" spans="1:17" ht="16" x14ac:dyDescent="0.2">
      <c r="A14" s="102" t="s">
        <v>188</v>
      </c>
      <c r="B14" s="94" t="s">
        <v>202</v>
      </c>
      <c r="F14" s="328" t="s">
        <v>173</v>
      </c>
      <c r="G14" s="94" t="s">
        <v>308</v>
      </c>
    </row>
    <row r="15" spans="1:17" ht="16" x14ac:dyDescent="0.2">
      <c r="A15" s="294" t="s">
        <v>173</v>
      </c>
      <c r="B15" s="94" t="s">
        <v>203</v>
      </c>
      <c r="F15" s="294"/>
      <c r="G15" s="94" t="s">
        <v>212</v>
      </c>
    </row>
    <row r="16" spans="1:17" ht="16" x14ac:dyDescent="0.2">
      <c r="A16" s="294"/>
      <c r="B16" s="94" t="s">
        <v>204</v>
      </c>
      <c r="F16" s="294"/>
      <c r="G16" s="94" t="s">
        <v>218</v>
      </c>
    </row>
    <row r="17" spans="1:15" ht="16" x14ac:dyDescent="0.2">
      <c r="A17" s="294"/>
      <c r="B17" s="94" t="s">
        <v>205</v>
      </c>
      <c r="F17" s="294"/>
      <c r="G17" s="94" t="s">
        <v>305</v>
      </c>
    </row>
    <row r="18" spans="1:15" ht="16" x14ac:dyDescent="0.2">
      <c r="A18" s="294"/>
      <c r="B18" s="94" t="s">
        <v>206</v>
      </c>
      <c r="F18" s="294" t="s">
        <v>175</v>
      </c>
      <c r="G18" s="94" t="s">
        <v>303</v>
      </c>
    </row>
    <row r="19" spans="1:15" ht="16" x14ac:dyDescent="0.2">
      <c r="A19" s="294" t="s">
        <v>174</v>
      </c>
      <c r="B19" s="94" t="s">
        <v>207</v>
      </c>
      <c r="F19" s="294"/>
      <c r="G19" s="94" t="s">
        <v>203</v>
      </c>
    </row>
    <row r="20" spans="1:15" ht="16" x14ac:dyDescent="0.2">
      <c r="A20" s="294"/>
      <c r="B20" s="94" t="s">
        <v>208</v>
      </c>
    </row>
    <row r="21" spans="1:15" ht="16" x14ac:dyDescent="0.2">
      <c r="A21" s="294"/>
      <c r="B21" s="94" t="s">
        <v>444</v>
      </c>
    </row>
    <row r="22" spans="1:15" ht="16" x14ac:dyDescent="0.2">
      <c r="A22" s="294"/>
      <c r="B22" s="94" t="s">
        <v>209</v>
      </c>
    </row>
    <row r="23" spans="1:15" ht="16" x14ac:dyDescent="0.2">
      <c r="A23" s="294"/>
      <c r="B23" s="94" t="s">
        <v>210</v>
      </c>
    </row>
    <row r="24" spans="1:15" ht="16" x14ac:dyDescent="0.2">
      <c r="A24" s="294" t="s">
        <v>175</v>
      </c>
      <c r="B24" s="94" t="s">
        <v>211</v>
      </c>
    </row>
    <row r="25" spans="1:15" ht="16" x14ac:dyDescent="0.2">
      <c r="A25" s="294"/>
      <c r="B25" s="94" t="s">
        <v>212</v>
      </c>
    </row>
    <row r="30" spans="1:15" ht="60" x14ac:dyDescent="0.2">
      <c r="A30" s="96" t="s">
        <v>95</v>
      </c>
      <c r="B30" s="97" t="s">
        <v>214</v>
      </c>
      <c r="C30" s="97" t="s">
        <v>215</v>
      </c>
      <c r="D30" s="97" t="s">
        <v>216</v>
      </c>
      <c r="E30" s="97" t="s">
        <v>217</v>
      </c>
      <c r="F30" s="97" t="s">
        <v>218</v>
      </c>
      <c r="G30" s="97" t="s">
        <v>219</v>
      </c>
      <c r="H30" s="97" t="s">
        <v>220</v>
      </c>
      <c r="I30" s="97" t="s">
        <v>221</v>
      </c>
      <c r="J30" s="97" t="s">
        <v>222</v>
      </c>
      <c r="K30" s="97" t="s">
        <v>223</v>
      </c>
      <c r="L30" s="97" t="s">
        <v>115</v>
      </c>
      <c r="M30" s="98" t="s">
        <v>174</v>
      </c>
      <c r="N30" s="98" t="s">
        <v>175</v>
      </c>
      <c r="O30" s="98" t="s">
        <v>224</v>
      </c>
    </row>
    <row r="31" spans="1:15" x14ac:dyDescent="0.2">
      <c r="A31" s="1" t="s">
        <v>355</v>
      </c>
      <c r="B31" t="s">
        <v>225</v>
      </c>
      <c r="C31" s="150">
        <v>487.33786287831992</v>
      </c>
      <c r="D31" s="150">
        <v>0</v>
      </c>
      <c r="E31" s="150">
        <v>50.957381099444106</v>
      </c>
      <c r="F31" s="150">
        <v>149.16615194564548</v>
      </c>
      <c r="G31" s="150">
        <v>0</v>
      </c>
      <c r="H31" s="150">
        <v>457.68993205682523</v>
      </c>
      <c r="I31" s="150">
        <v>37.059913526868435</v>
      </c>
      <c r="J31" s="150">
        <v>254.78690549722049</v>
      </c>
      <c r="K31" s="150">
        <v>63.001852995676337</v>
      </c>
      <c r="L31">
        <f t="shared" ref="L31:L35" si="2">SUM(C31:K31)</f>
        <v>1500</v>
      </c>
      <c r="M31" s="150">
        <f>C31+D31</f>
        <v>487.33786287831992</v>
      </c>
      <c r="N31" s="150">
        <f t="shared" ref="N31:N35" si="3">F31+I31+G31</f>
        <v>186.22606547251391</v>
      </c>
      <c r="O31" s="150">
        <f t="shared" ref="O31:O35" si="4">L31-SUM(M31:N31)</f>
        <v>826.43607164916614</v>
      </c>
    </row>
    <row r="32" spans="1:15" x14ac:dyDescent="0.2">
      <c r="A32" s="1" t="s">
        <v>356</v>
      </c>
      <c r="B32" t="s">
        <v>225</v>
      </c>
      <c r="C32" s="150">
        <v>225.93636729762383</v>
      </c>
      <c r="D32" s="150">
        <v>0</v>
      </c>
      <c r="E32" s="150">
        <v>55.577929923479665</v>
      </c>
      <c r="F32" s="150">
        <v>219.89528795811518</v>
      </c>
      <c r="G32" s="150">
        <v>1.2082158679017319</v>
      </c>
      <c r="H32" s="150">
        <v>1893.2742650020136</v>
      </c>
      <c r="I32" s="150">
        <v>83.366894885219494</v>
      </c>
      <c r="J32" s="150">
        <v>501.40958517921865</v>
      </c>
      <c r="K32" s="150">
        <v>19.33145388642771</v>
      </c>
      <c r="L32">
        <f t="shared" si="2"/>
        <v>3000</v>
      </c>
      <c r="M32" s="150">
        <f t="shared" ref="M32:M35" si="5">C32+D32</f>
        <v>225.93636729762383</v>
      </c>
      <c r="N32" s="150">
        <f t="shared" si="3"/>
        <v>304.47039871123644</v>
      </c>
      <c r="O32" s="150">
        <f t="shared" si="4"/>
        <v>2469.5932339911396</v>
      </c>
    </row>
    <row r="33" spans="1:15" x14ac:dyDescent="0.2">
      <c r="A33" s="1" t="s">
        <v>357</v>
      </c>
      <c r="B33" t="s">
        <v>225</v>
      </c>
      <c r="C33" s="150">
        <v>165.07503410641201</v>
      </c>
      <c r="D33" s="150">
        <v>5.4570259208731242</v>
      </c>
      <c r="E33" s="150">
        <v>140.51841746248294</v>
      </c>
      <c r="F33" s="150">
        <v>577.0804911323329</v>
      </c>
      <c r="G33" s="150">
        <v>0</v>
      </c>
      <c r="H33" s="150">
        <v>953.61527967257837</v>
      </c>
      <c r="I33" s="150">
        <v>28.649386084583902</v>
      </c>
      <c r="J33" s="150">
        <v>69.577080491132335</v>
      </c>
      <c r="K33" s="150">
        <v>60.027285129604365</v>
      </c>
      <c r="L33">
        <f t="shared" si="2"/>
        <v>2000</v>
      </c>
      <c r="M33" s="150">
        <f t="shared" si="5"/>
        <v>170.53206002728513</v>
      </c>
      <c r="N33" s="150">
        <f t="shared" si="3"/>
        <v>605.72987721691675</v>
      </c>
      <c r="O33" s="150">
        <f t="shared" si="4"/>
        <v>1223.7380627557982</v>
      </c>
    </row>
    <row r="34" spans="1:15" x14ac:dyDescent="0.2">
      <c r="A34" s="1" t="s">
        <v>358</v>
      </c>
      <c r="B34" t="s">
        <v>225</v>
      </c>
      <c r="C34" s="150">
        <v>286.10077781535341</v>
      </c>
      <c r="D34" s="150">
        <v>3.0436252959080146</v>
      </c>
      <c r="E34" s="150">
        <v>103.48326006087251</v>
      </c>
      <c r="F34" s="150">
        <v>126.81772066283396</v>
      </c>
      <c r="G34" s="150">
        <v>4.0581670612106864</v>
      </c>
      <c r="H34" s="150">
        <v>1843.4223875549544</v>
      </c>
      <c r="I34" s="150">
        <v>52.756171795738922</v>
      </c>
      <c r="J34" s="150">
        <v>318.56611430503892</v>
      </c>
      <c r="K34" s="150">
        <v>261.75177544808929</v>
      </c>
      <c r="L34">
        <f t="shared" si="2"/>
        <v>2999.9999999999995</v>
      </c>
      <c r="M34" s="150">
        <f t="shared" si="5"/>
        <v>289.1444031112614</v>
      </c>
      <c r="N34" s="150">
        <f t="shared" si="3"/>
        <v>183.63205951978358</v>
      </c>
      <c r="O34" s="150">
        <f t="shared" si="4"/>
        <v>2527.2235373689546</v>
      </c>
    </row>
    <row r="35" spans="1:15" x14ac:dyDescent="0.2">
      <c r="A35" s="1" t="s">
        <v>376</v>
      </c>
      <c r="B35" t="s">
        <v>225</v>
      </c>
      <c r="C35" s="35">
        <v>140.81632653061223</v>
      </c>
      <c r="D35" s="35">
        <v>1.0204081632653061</v>
      </c>
      <c r="E35" s="35">
        <v>20.408163265306122</v>
      </c>
      <c r="F35" s="35">
        <v>107.14285714285714</v>
      </c>
      <c r="G35" s="35">
        <v>1.0204081632653061</v>
      </c>
      <c r="H35" s="35">
        <v>1078.5714285714284</v>
      </c>
      <c r="I35" s="35">
        <v>30.612244897959183</v>
      </c>
      <c r="J35" s="35">
        <v>510.20408163265307</v>
      </c>
      <c r="K35" s="35">
        <v>110.20408163265306</v>
      </c>
      <c r="L35">
        <f t="shared" si="2"/>
        <v>1999.9999999999998</v>
      </c>
      <c r="M35" s="150">
        <f t="shared" si="5"/>
        <v>141.83673469387753</v>
      </c>
      <c r="N35" s="150">
        <f t="shared" si="3"/>
        <v>138.77551020408163</v>
      </c>
      <c r="O35" s="150">
        <f t="shared" si="4"/>
        <v>1719.3877551020405</v>
      </c>
    </row>
  </sheetData>
  <sheetProtection algorithmName="SHA-512" hashValue="DUHsDRiIOwY1+3fTq+9K5Op6F3t30s/cowpJSfu3eNCbQku70knkFZC5L/Bal7XIweEKRnI11A8MisPLechpDQ==" saltValue="Y5KRArPRz1VfGQTAYrcsKQ==" spinCount="100000" sheet="1" objects="1" scenarios="1"/>
  <mergeCells count="12">
    <mergeCell ref="A24:A25"/>
    <mergeCell ref="A19:A23"/>
    <mergeCell ref="A15:A18"/>
    <mergeCell ref="A13:B13"/>
    <mergeCell ref="C4:L4"/>
    <mergeCell ref="C5:D5"/>
    <mergeCell ref="E5:F5"/>
    <mergeCell ref="G5:H5"/>
    <mergeCell ref="I5:J5"/>
    <mergeCell ref="K5:L5"/>
    <mergeCell ref="F14:F17"/>
    <mergeCell ref="F18:F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0EAFF-ED8A-7048-BECC-AFFB99853F34}">
  <dimension ref="A1:L28"/>
  <sheetViews>
    <sheetView zoomScale="140" zoomScaleNormal="140" workbookViewId="0"/>
  </sheetViews>
  <sheetFormatPr baseColWidth="10" defaultColWidth="8.83203125" defaultRowHeight="15" x14ac:dyDescent="0.2"/>
  <cols>
    <col min="1" max="1" width="48.83203125" customWidth="1"/>
    <col min="2" max="2" width="12.83203125" customWidth="1"/>
    <col min="3" max="4" width="10.5" customWidth="1"/>
    <col min="10" max="10" width="20.1640625" bestFit="1" customWidth="1"/>
    <col min="11" max="11" width="19" customWidth="1"/>
  </cols>
  <sheetData>
    <row r="1" spans="1:12" ht="19" x14ac:dyDescent="0.25">
      <c r="A1" s="103" t="s">
        <v>278</v>
      </c>
    </row>
    <row r="2" spans="1:12" s="21" customFormat="1" ht="112" x14ac:dyDescent="0.2">
      <c r="B2" s="139" t="s">
        <v>279</v>
      </c>
      <c r="C2" s="139" t="s">
        <v>280</v>
      </c>
      <c r="D2" s="139" t="s">
        <v>281</v>
      </c>
      <c r="E2" s="139"/>
      <c r="F2" s="139" t="s">
        <v>282</v>
      </c>
      <c r="G2" s="139" t="s">
        <v>283</v>
      </c>
      <c r="H2" s="139" t="s">
        <v>284</v>
      </c>
      <c r="J2" s="21" t="s">
        <v>316</v>
      </c>
      <c r="K2" s="21" t="s">
        <v>317</v>
      </c>
      <c r="L2"/>
    </row>
    <row r="3" spans="1:12" x14ac:dyDescent="0.2">
      <c r="A3" s="1" t="s">
        <v>355</v>
      </c>
      <c r="B3" s="147">
        <v>0.09</v>
      </c>
      <c r="C3" s="147">
        <v>2.5000000000000001E-3</v>
      </c>
      <c r="D3" s="147">
        <f>SUM(B3:C3)</f>
        <v>9.2499999999999999E-2</v>
      </c>
      <c r="E3" s="147"/>
      <c r="F3" s="16">
        <v>0.45</v>
      </c>
      <c r="G3" s="16">
        <v>0.45</v>
      </c>
      <c r="H3" s="16">
        <v>0</v>
      </c>
      <c r="J3" s="162">
        <f t="shared" ref="J3:K8" si="0">G3*B3</f>
        <v>4.0500000000000001E-2</v>
      </c>
      <c r="K3" s="162">
        <f t="shared" si="0"/>
        <v>0</v>
      </c>
    </row>
    <row r="4" spans="1:12" x14ac:dyDescent="0.2">
      <c r="A4" s="1" t="s">
        <v>356</v>
      </c>
      <c r="B4" s="147">
        <v>0.19</v>
      </c>
      <c r="C4" s="147">
        <v>1E-3</v>
      </c>
      <c r="D4" s="147">
        <f t="shared" ref="D4:D7" si="1">SUM(B4:C4)</f>
        <v>0.191</v>
      </c>
      <c r="E4" s="147"/>
      <c r="F4" s="16">
        <v>0.15</v>
      </c>
      <c r="G4" s="16">
        <v>0.12</v>
      </c>
      <c r="H4" s="16">
        <v>0.17</v>
      </c>
      <c r="J4" s="162">
        <f t="shared" si="0"/>
        <v>2.2800000000000001E-2</v>
      </c>
      <c r="K4" s="162">
        <f t="shared" si="0"/>
        <v>1.7000000000000001E-4</v>
      </c>
    </row>
    <row r="5" spans="1:12" x14ac:dyDescent="0.2">
      <c r="A5" s="1" t="s">
        <v>357</v>
      </c>
      <c r="B5" s="147">
        <v>0.12</v>
      </c>
      <c r="C5" s="147">
        <v>0</v>
      </c>
      <c r="D5" s="147">
        <f t="shared" si="1"/>
        <v>0.12</v>
      </c>
      <c r="E5" s="147"/>
      <c r="F5" s="16">
        <v>0.42</v>
      </c>
      <c r="G5" s="16">
        <v>0.35</v>
      </c>
      <c r="H5" s="16">
        <v>0</v>
      </c>
      <c r="J5" s="162">
        <f t="shared" si="0"/>
        <v>4.1999999999999996E-2</v>
      </c>
      <c r="K5" s="162">
        <f t="shared" si="0"/>
        <v>0</v>
      </c>
    </row>
    <row r="6" spans="1:12" x14ac:dyDescent="0.2">
      <c r="A6" s="1" t="s">
        <v>358</v>
      </c>
      <c r="B6" s="147">
        <v>0.22</v>
      </c>
      <c r="C6" s="147">
        <v>0.04</v>
      </c>
      <c r="D6" s="147">
        <f t="shared" si="1"/>
        <v>0.26</v>
      </c>
      <c r="E6" s="147"/>
      <c r="F6" s="16">
        <v>0.15</v>
      </c>
      <c r="G6" s="16">
        <v>0.1</v>
      </c>
      <c r="H6" s="16">
        <v>0.05</v>
      </c>
      <c r="J6" s="162">
        <f t="shared" si="0"/>
        <v>2.2000000000000002E-2</v>
      </c>
      <c r="K6" s="162">
        <f t="shared" si="0"/>
        <v>2E-3</v>
      </c>
    </row>
    <row r="7" spans="1:12" x14ac:dyDescent="0.2">
      <c r="A7" s="1" t="s">
        <v>376</v>
      </c>
      <c r="B7" s="147">
        <v>0.14000000000000001</v>
      </c>
      <c r="C7" s="147">
        <v>0</v>
      </c>
      <c r="D7" s="147">
        <f t="shared" si="1"/>
        <v>0.14000000000000001</v>
      </c>
      <c r="E7" s="147"/>
      <c r="F7" s="16">
        <v>0.25</v>
      </c>
      <c r="G7" s="16">
        <v>0.2</v>
      </c>
      <c r="H7" s="16">
        <v>0</v>
      </c>
      <c r="J7" s="162">
        <f t="shared" si="0"/>
        <v>2.8000000000000004E-2</v>
      </c>
      <c r="K7" s="162">
        <f t="shared" si="0"/>
        <v>0</v>
      </c>
    </row>
    <row r="8" spans="1:12" s="17" customFormat="1" x14ac:dyDescent="0.2">
      <c r="A8" s="17" t="s">
        <v>115</v>
      </c>
      <c r="B8" s="146">
        <v>0.19288246904931344</v>
      </c>
      <c r="C8" s="146">
        <v>2.3122715404699738E-2</v>
      </c>
      <c r="D8" s="146">
        <f>SUM(B8:C8)</f>
        <v>0.21600518445401318</v>
      </c>
      <c r="E8" s="146"/>
      <c r="F8" s="79">
        <v>0.21990600522193213</v>
      </c>
      <c r="G8" s="79">
        <v>0.15979017451830929</v>
      </c>
      <c r="H8" s="79">
        <v>0.17253839205058719</v>
      </c>
      <c r="J8" s="164">
        <f t="shared" si="0"/>
        <v>3.0820723390912186E-2</v>
      </c>
      <c r="K8" s="164">
        <f t="shared" si="0"/>
        <v>3.9895561357702353E-3</v>
      </c>
    </row>
    <row r="12" spans="1:12" x14ac:dyDescent="0.2">
      <c r="A12" t="s">
        <v>462</v>
      </c>
      <c r="B12" s="19">
        <f>'Per Student Base Funding'!K11</f>
        <v>10952.696705830351</v>
      </c>
    </row>
    <row r="13" spans="1:12" x14ac:dyDescent="0.2">
      <c r="A13" t="s">
        <v>312</v>
      </c>
      <c r="B13" s="16">
        <v>1</v>
      </c>
    </row>
    <row r="14" spans="1:12" x14ac:dyDescent="0.2">
      <c r="A14" t="s">
        <v>313</v>
      </c>
      <c r="B14" s="16">
        <v>0.2</v>
      </c>
    </row>
    <row r="17" spans="2:5" x14ac:dyDescent="0.2">
      <c r="B17" t="s">
        <v>285</v>
      </c>
    </row>
    <row r="18" spans="2:5" x14ac:dyDescent="0.2">
      <c r="B18" t="s">
        <v>336</v>
      </c>
    </row>
    <row r="19" spans="2:5" x14ac:dyDescent="0.2">
      <c r="B19" s="126" t="s">
        <v>314</v>
      </c>
      <c r="C19" s="163">
        <f>(1+B13)*C8+(1+B14)*B8+(1-D8)</f>
        <v>1.0616992092145625</v>
      </c>
    </row>
    <row r="20" spans="2:5" x14ac:dyDescent="0.2">
      <c r="B20" s="17" t="s">
        <v>461</v>
      </c>
      <c r="E20" s="17"/>
    </row>
    <row r="21" spans="2:5" x14ac:dyDescent="0.2">
      <c r="B21" s="48">
        <f>B12/C19</f>
        <v>10316.195595486106</v>
      </c>
      <c r="C21" t="s">
        <v>286</v>
      </c>
      <c r="E21" s="48"/>
    </row>
    <row r="22" spans="2:5" x14ac:dyDescent="0.2">
      <c r="B22" s="48">
        <f>B21*(1+B13)</f>
        <v>20632.391190972212</v>
      </c>
      <c r="C22" t="s">
        <v>287</v>
      </c>
      <c r="E22" s="48"/>
    </row>
    <row r="23" spans="2:5" x14ac:dyDescent="0.2">
      <c r="B23" s="48">
        <f>B21*(1+B14)</f>
        <v>12379.434714583327</v>
      </c>
      <c r="C23" t="s">
        <v>288</v>
      </c>
      <c r="E23" s="48"/>
    </row>
    <row r="25" spans="2:5" x14ac:dyDescent="0.2">
      <c r="B25" s="17"/>
    </row>
    <row r="26" spans="2:5" x14ac:dyDescent="0.2">
      <c r="B26" s="48"/>
    </row>
    <row r="27" spans="2:5" x14ac:dyDescent="0.2">
      <c r="B27" s="48"/>
    </row>
    <row r="28" spans="2:5" x14ac:dyDescent="0.2">
      <c r="B28" s="48"/>
    </row>
  </sheetData>
  <sheetProtection algorithmName="SHA-512" hashValue="Ipr8CEE5ZvloBAY9d6GVaJEFE1akVCz17r6hN0SgaR+mnMBxHihWY21SYAnUfPAFkfEGUL+NLbS+zPlsYrUuVg==" saltValue="/jlQewoo3783PD8Bx2FOZw=="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74521-64BF-1740-9941-7C01981F5C2A}">
  <dimension ref="A1:Y17"/>
  <sheetViews>
    <sheetView zoomScale="130" zoomScaleNormal="130" workbookViewId="0">
      <selection sqref="A1:Y1"/>
    </sheetView>
  </sheetViews>
  <sheetFormatPr baseColWidth="10" defaultColWidth="8.83203125" defaultRowHeight="15" x14ac:dyDescent="0.2"/>
  <cols>
    <col min="1" max="1" width="37.33203125" customWidth="1"/>
    <col min="2" max="2" width="15.6640625" customWidth="1"/>
    <col min="3" max="3" width="14.1640625" customWidth="1"/>
    <col min="4" max="4" width="16.5" customWidth="1"/>
    <col min="5" max="5" width="13.5" customWidth="1"/>
    <col min="6" max="6" width="15.5" customWidth="1"/>
    <col min="7" max="7" width="1.5" customWidth="1"/>
    <col min="8" max="8" width="37.33203125" customWidth="1"/>
    <col min="9" max="9" width="11.5" customWidth="1"/>
    <col min="10" max="10" width="2.5" customWidth="1"/>
    <col min="11" max="11" width="12.1640625" customWidth="1"/>
    <col min="12" max="12" width="11" customWidth="1"/>
    <col min="13" max="13" width="16.83203125" customWidth="1"/>
    <col min="14" max="14" width="2.5" customWidth="1"/>
    <col min="15" max="15" width="10.5" bestFit="1" customWidth="1"/>
    <col min="16" max="16" width="11.1640625" customWidth="1"/>
    <col min="17" max="17" width="14.1640625" customWidth="1"/>
    <col min="18" max="18" width="2.33203125" customWidth="1"/>
    <col min="19" max="19" width="13.5" customWidth="1"/>
    <col min="20" max="20" width="1.33203125" customWidth="1"/>
    <col min="21" max="21" width="38" bestFit="1" customWidth="1"/>
    <col min="22" max="24" width="18" customWidth="1"/>
    <col min="25" max="25" width="9.5" customWidth="1"/>
  </cols>
  <sheetData>
    <row r="1" spans="1:25" s="213" customFormat="1" ht="20" thickBot="1" x14ac:dyDescent="0.25">
      <c r="A1" s="329" t="s">
        <v>389</v>
      </c>
      <c r="B1" s="330"/>
      <c r="C1" s="330"/>
      <c r="D1" s="330"/>
      <c r="E1" s="330"/>
      <c r="F1" s="330"/>
      <c r="G1" s="330"/>
      <c r="H1" s="330"/>
      <c r="I1" s="330"/>
      <c r="J1" s="330"/>
      <c r="K1" s="330"/>
      <c r="L1" s="330"/>
      <c r="M1" s="330"/>
      <c r="N1" s="330"/>
      <c r="O1" s="330"/>
      <c r="P1" s="330"/>
      <c r="Q1" s="330"/>
      <c r="R1" s="330"/>
      <c r="S1" s="330"/>
      <c r="T1" s="330"/>
      <c r="U1" s="330"/>
      <c r="V1" s="330"/>
      <c r="W1" s="330"/>
      <c r="X1" s="330"/>
      <c r="Y1" s="330"/>
    </row>
    <row r="2" spans="1:25" s="17" customFormat="1" ht="17" x14ac:dyDescent="0.2">
      <c r="A2" s="331" t="s">
        <v>390</v>
      </c>
      <c r="B2" s="332"/>
      <c r="C2" s="332"/>
      <c r="D2" s="332"/>
      <c r="E2" s="332"/>
      <c r="F2" s="333"/>
      <c r="H2" s="331" t="s">
        <v>391</v>
      </c>
      <c r="I2" s="332"/>
      <c r="J2" s="332"/>
      <c r="K2" s="332"/>
      <c r="L2" s="332"/>
      <c r="M2" s="332"/>
      <c r="N2" s="332"/>
      <c r="O2" s="332"/>
      <c r="P2" s="332"/>
      <c r="Q2" s="332"/>
      <c r="R2" s="332"/>
      <c r="S2" s="333"/>
      <c r="U2" s="331" t="s">
        <v>392</v>
      </c>
      <c r="V2" s="332"/>
      <c r="W2" s="332"/>
      <c r="X2" s="333"/>
    </row>
    <row r="3" spans="1:25" x14ac:dyDescent="0.2">
      <c r="A3" s="214"/>
      <c r="F3" s="215"/>
      <c r="H3" s="214"/>
      <c r="S3" s="215"/>
      <c r="U3" s="214"/>
      <c r="X3" s="215"/>
    </row>
    <row r="4" spans="1:25" x14ac:dyDescent="0.2">
      <c r="A4" s="214" t="s">
        <v>393</v>
      </c>
      <c r="F4" s="215"/>
      <c r="H4" s="214" t="s">
        <v>394</v>
      </c>
      <c r="S4" s="215"/>
      <c r="U4" s="214" t="s">
        <v>395</v>
      </c>
      <c r="X4" s="215"/>
    </row>
    <row r="5" spans="1:25" x14ac:dyDescent="0.2">
      <c r="A5" s="214" t="s">
        <v>396</v>
      </c>
      <c r="F5" s="215"/>
      <c r="H5" s="214" t="s">
        <v>397</v>
      </c>
      <c r="S5" s="215"/>
      <c r="U5" s="214"/>
      <c r="X5" s="215"/>
    </row>
    <row r="6" spans="1:25" x14ac:dyDescent="0.2">
      <c r="A6" s="224"/>
      <c r="B6" s="21"/>
      <c r="C6" s="21"/>
      <c r="D6" s="21"/>
      <c r="E6" s="21"/>
      <c r="F6" s="225"/>
      <c r="H6" s="224"/>
      <c r="I6" s="21"/>
      <c r="J6" s="21"/>
      <c r="K6" s="21"/>
      <c r="L6" s="21"/>
      <c r="M6" s="21"/>
      <c r="N6" s="21"/>
      <c r="O6" s="21"/>
      <c r="P6" s="21"/>
      <c r="Q6" s="21"/>
      <c r="R6" s="21"/>
      <c r="S6" s="225"/>
      <c r="U6" s="214"/>
      <c r="X6" s="215"/>
    </row>
    <row r="7" spans="1:25" ht="16" thickBot="1" x14ac:dyDescent="0.25">
      <c r="A7" s="214"/>
      <c r="F7" s="215"/>
      <c r="H7" s="214"/>
      <c r="S7" s="215"/>
      <c r="U7" s="214"/>
      <c r="X7" s="215"/>
    </row>
    <row r="8" spans="1:25" ht="64" x14ac:dyDescent="0.2">
      <c r="A8" s="216" t="s">
        <v>95</v>
      </c>
      <c r="B8" s="139" t="s">
        <v>435</v>
      </c>
      <c r="C8" s="139" t="s">
        <v>398</v>
      </c>
      <c r="D8" s="139" t="s">
        <v>399</v>
      </c>
      <c r="E8" s="139" t="s">
        <v>322</v>
      </c>
      <c r="F8" s="217" t="s">
        <v>400</v>
      </c>
      <c r="H8" s="216" t="s">
        <v>95</v>
      </c>
      <c r="I8" s="211" t="s">
        <v>401</v>
      </c>
      <c r="K8" s="211" t="s">
        <v>402</v>
      </c>
      <c r="L8" s="211" t="s">
        <v>403</v>
      </c>
      <c r="M8" s="211" t="s">
        <v>404</v>
      </c>
      <c r="O8" s="211" t="s">
        <v>405</v>
      </c>
      <c r="P8" s="211" t="s">
        <v>406</v>
      </c>
      <c r="Q8" s="211" t="s">
        <v>407</v>
      </c>
      <c r="S8" s="212" t="s">
        <v>408</v>
      </c>
      <c r="U8" s="216" t="s">
        <v>95</v>
      </c>
      <c r="V8" s="211" t="s">
        <v>409</v>
      </c>
      <c r="W8" s="211" t="s">
        <v>414</v>
      </c>
      <c r="X8" s="212" t="s">
        <v>415</v>
      </c>
    </row>
    <row r="9" spans="1:25" x14ac:dyDescent="0.2">
      <c r="A9" s="214" t="s">
        <v>355</v>
      </c>
      <c r="B9" s="218">
        <v>1720</v>
      </c>
      <c r="C9">
        <v>1.3</v>
      </c>
      <c r="D9" s="218">
        <f>B9*C9</f>
        <v>2236</v>
      </c>
      <c r="E9" s="219">
        <f>'Expend, FTE, Headcount, Sq Ft'!E49</f>
        <v>4500</v>
      </c>
      <c r="F9" s="220">
        <f>D9*E9</f>
        <v>10062000</v>
      </c>
      <c r="H9" s="214" t="s">
        <v>355</v>
      </c>
      <c r="I9" s="48">
        <v>9.1999999999999993</v>
      </c>
      <c r="K9" s="150">
        <v>700000</v>
      </c>
      <c r="L9" s="48">
        <f>IF(I9&lt;$I$14,$I$14,I9)</f>
        <v>9.1999999999999993</v>
      </c>
      <c r="M9" s="19">
        <f t="shared" ref="M9:M13" si="0">L9*K9</f>
        <v>6439999.9999999991</v>
      </c>
      <c r="O9" s="219">
        <v>175000</v>
      </c>
      <c r="P9" s="48">
        <f t="shared" ref="P9:P13" si="1">L9*1.3</f>
        <v>11.959999999999999</v>
      </c>
      <c r="Q9" s="19">
        <f t="shared" ref="Q9:Q13" si="2">P9*O9</f>
        <v>2092999.9999999998</v>
      </c>
      <c r="R9" s="48"/>
      <c r="S9" s="276">
        <f t="shared" ref="S9:S13" si="3">M9+Q9</f>
        <v>8532999.9999999981</v>
      </c>
      <c r="U9" s="214" t="s">
        <v>355</v>
      </c>
      <c r="V9" s="19">
        <v>2350000</v>
      </c>
      <c r="W9" s="159">
        <f>V9/(O9+K9)</f>
        <v>2.6857142857142855</v>
      </c>
      <c r="X9" s="276">
        <f>$W$14*(O9+K9)</f>
        <v>2353990.7722031726</v>
      </c>
    </row>
    <row r="10" spans="1:25" x14ac:dyDescent="0.2">
      <c r="A10" s="214" t="s">
        <v>356</v>
      </c>
      <c r="B10" s="218">
        <v>1720</v>
      </c>
      <c r="C10">
        <v>1.1499999999999999</v>
      </c>
      <c r="D10" s="218">
        <f t="shared" ref="D10:D13" si="4">B10*C10</f>
        <v>1977.9999999999998</v>
      </c>
      <c r="E10" s="219">
        <f>'Expend, FTE, Headcount, Sq Ft'!E50</f>
        <v>18000</v>
      </c>
      <c r="F10" s="220">
        <f t="shared" ref="F10:F13" si="5">D10*E10</f>
        <v>35603999.999999993</v>
      </c>
      <c r="H10" s="214" t="s">
        <v>356</v>
      </c>
      <c r="I10" s="48">
        <v>5.9</v>
      </c>
      <c r="K10" s="150">
        <v>3000000</v>
      </c>
      <c r="L10" s="48">
        <f>IF(I10&lt;$I$14,$I$14,I10)</f>
        <v>5.9</v>
      </c>
      <c r="M10" s="19">
        <f t="shared" si="0"/>
        <v>17700000</v>
      </c>
      <c r="O10" s="219">
        <v>525000</v>
      </c>
      <c r="P10" s="48">
        <f t="shared" si="1"/>
        <v>7.6700000000000008</v>
      </c>
      <c r="Q10" s="19">
        <f t="shared" si="2"/>
        <v>4026750.0000000005</v>
      </c>
      <c r="R10" s="48"/>
      <c r="S10" s="276">
        <f>M10+Q10</f>
        <v>21726750</v>
      </c>
      <c r="U10" s="214" t="s">
        <v>356</v>
      </c>
      <c r="V10" s="19">
        <v>9500000</v>
      </c>
      <c r="W10" s="159">
        <f t="shared" ref="W10:W13" si="6">V10/(O10+K10)</f>
        <v>2.6950354609929077</v>
      </c>
      <c r="X10" s="276">
        <f>$W$14*(O10+K10)</f>
        <v>9483219.9680184945</v>
      </c>
    </row>
    <row r="11" spans="1:25" x14ac:dyDescent="0.2">
      <c r="A11" s="214" t="s">
        <v>357</v>
      </c>
      <c r="B11" s="218">
        <v>1720</v>
      </c>
      <c r="C11">
        <v>1.3</v>
      </c>
      <c r="D11" s="218">
        <f t="shared" si="4"/>
        <v>2236</v>
      </c>
      <c r="E11" s="219">
        <f>'Expend, FTE, Headcount, Sq Ft'!E51</f>
        <v>7000</v>
      </c>
      <c r="F11" s="220">
        <f t="shared" si="5"/>
        <v>15652000</v>
      </c>
      <c r="H11" s="214" t="s">
        <v>357</v>
      </c>
      <c r="I11" s="48">
        <v>8.1</v>
      </c>
      <c r="K11" s="150">
        <v>1250000</v>
      </c>
      <c r="L11" s="48">
        <f>IF(I11&lt;$I$14,$I$14,I11)</f>
        <v>8.1</v>
      </c>
      <c r="M11" s="19">
        <f t="shared" si="0"/>
        <v>10125000</v>
      </c>
      <c r="O11" s="219">
        <v>190000</v>
      </c>
      <c r="P11" s="48">
        <f t="shared" si="1"/>
        <v>10.53</v>
      </c>
      <c r="Q11" s="19">
        <f t="shared" si="2"/>
        <v>2000699.9999999998</v>
      </c>
      <c r="R11" s="48"/>
      <c r="S11" s="276">
        <f t="shared" si="3"/>
        <v>12125700</v>
      </c>
      <c r="U11" s="214" t="s">
        <v>357</v>
      </c>
      <c r="V11" s="19">
        <v>3000000</v>
      </c>
      <c r="W11" s="159">
        <f t="shared" si="6"/>
        <v>2.0833333333333335</v>
      </c>
      <c r="X11" s="276">
        <f>$W$14*(O11+K11)</f>
        <v>3873996.2422543638</v>
      </c>
    </row>
    <row r="12" spans="1:25" x14ac:dyDescent="0.2">
      <c r="A12" s="214" t="s">
        <v>358</v>
      </c>
      <c r="B12" s="218">
        <v>1720</v>
      </c>
      <c r="C12">
        <v>1.1499999999999999</v>
      </c>
      <c r="D12" s="218">
        <f t="shared" si="4"/>
        <v>1977.9999999999998</v>
      </c>
      <c r="E12" s="219">
        <f>'Expend, FTE, Headcount, Sq Ft'!E52</f>
        <v>13000</v>
      </c>
      <c r="F12" s="220">
        <f t="shared" si="5"/>
        <v>25713999.999999996</v>
      </c>
      <c r="H12" s="214" t="s">
        <v>358</v>
      </c>
      <c r="I12" s="48">
        <v>4.8</v>
      </c>
      <c r="K12" s="150">
        <v>3500000</v>
      </c>
      <c r="L12" s="48">
        <f>IF(I12&lt;$I$14,$I$14,I12)</f>
        <v>5.882521675647074</v>
      </c>
      <c r="M12" s="19">
        <f t="shared" si="0"/>
        <v>20588825.864764757</v>
      </c>
      <c r="O12" s="219">
        <v>525000</v>
      </c>
      <c r="P12" s="48">
        <f>L12*1.3</f>
        <v>7.6472781783411961</v>
      </c>
      <c r="Q12" s="19">
        <f t="shared" si="2"/>
        <v>4014821.043629128</v>
      </c>
      <c r="R12" s="48"/>
      <c r="S12" s="276">
        <f t="shared" si="3"/>
        <v>24603646.908393886</v>
      </c>
      <c r="U12" s="214" t="s">
        <v>358</v>
      </c>
      <c r="V12" s="19">
        <v>10000000</v>
      </c>
      <c r="W12" s="159">
        <f t="shared" si="6"/>
        <v>2.4844720496894408</v>
      </c>
      <c r="X12" s="276">
        <f>$W$14*(O12+K12)</f>
        <v>10828357.552134594</v>
      </c>
    </row>
    <row r="13" spans="1:25" ht="16" thickBot="1" x14ac:dyDescent="0.25">
      <c r="A13" s="277" t="s">
        <v>376</v>
      </c>
      <c r="B13" s="221">
        <v>1720</v>
      </c>
      <c r="C13" s="52">
        <v>1.3</v>
      </c>
      <c r="D13" s="221">
        <f t="shared" si="4"/>
        <v>2236</v>
      </c>
      <c r="E13" s="222">
        <f>'Expend, FTE, Headcount, Sq Ft'!E53</f>
        <v>8000</v>
      </c>
      <c r="F13" s="223">
        <f t="shared" si="5"/>
        <v>17888000</v>
      </c>
      <c r="H13" s="277" t="s">
        <v>376</v>
      </c>
      <c r="I13" s="48">
        <v>5.05</v>
      </c>
      <c r="K13" s="150">
        <v>1500000</v>
      </c>
      <c r="L13" s="48">
        <f>IF(I13&lt;$I$14,$I$14,I13)</f>
        <v>5.882521675647074</v>
      </c>
      <c r="M13" s="19">
        <f t="shared" si="0"/>
        <v>8823782.5134706106</v>
      </c>
      <c r="O13" s="219">
        <v>300000</v>
      </c>
      <c r="P13" s="48">
        <f t="shared" si="1"/>
        <v>7.6472781783411961</v>
      </c>
      <c r="Q13" s="19">
        <f t="shared" si="2"/>
        <v>2294183.4535023589</v>
      </c>
      <c r="R13" s="48"/>
      <c r="S13" s="278">
        <f t="shared" si="3"/>
        <v>11117965.966972969</v>
      </c>
      <c r="U13" s="277" t="s">
        <v>376</v>
      </c>
      <c r="V13" s="62">
        <v>6500000</v>
      </c>
      <c r="W13" s="279">
        <f t="shared" si="6"/>
        <v>3.6111111111111112</v>
      </c>
      <c r="X13" s="278">
        <f>$W$14*(O13+K13)</f>
        <v>4842495.3028179547</v>
      </c>
    </row>
    <row r="14" spans="1:25" x14ac:dyDescent="0.2">
      <c r="A14" s="226" t="s">
        <v>115</v>
      </c>
      <c r="B14" s="24">
        <f>AVERAGE(B9:B13)</f>
        <v>1720</v>
      </c>
      <c r="E14" s="227">
        <f>'Expend, FTE, Headcount, Sq Ft'!E54</f>
        <v>180734</v>
      </c>
      <c r="F14" s="231">
        <v>337007629.16275328</v>
      </c>
      <c r="H14" s="229" t="s">
        <v>410</v>
      </c>
      <c r="I14" s="230">
        <v>5.882521675647074</v>
      </c>
      <c r="J14" s="52"/>
      <c r="K14" s="52"/>
      <c r="L14" s="52"/>
      <c r="M14" s="112">
        <v>233228399.38769895</v>
      </c>
      <c r="N14" s="27"/>
      <c r="O14" s="27"/>
      <c r="P14" s="27"/>
      <c r="Q14" s="112">
        <v>85516735.074217603</v>
      </c>
      <c r="R14" s="27"/>
      <c r="S14" s="115">
        <v>318745134.46191651</v>
      </c>
      <c r="V14" s="74" t="s">
        <v>410</v>
      </c>
      <c r="W14" s="228">
        <v>2.6902751682321973</v>
      </c>
      <c r="X14" s="231">
        <v>133255454.77253902</v>
      </c>
    </row>
    <row r="15" spans="1:25" ht="17" x14ac:dyDescent="0.2">
      <c r="A15" t="s">
        <v>411</v>
      </c>
      <c r="H15" t="s">
        <v>412</v>
      </c>
      <c r="U15" t="s">
        <v>413</v>
      </c>
    </row>
    <row r="16" spans="1:25" ht="17" x14ac:dyDescent="0.2">
      <c r="A16" t="s">
        <v>412</v>
      </c>
    </row>
    <row r="17" spans="1:1" ht="17" x14ac:dyDescent="0.2">
      <c r="A17" t="s">
        <v>413</v>
      </c>
    </row>
  </sheetData>
  <sheetProtection algorithmName="SHA-512" hashValue="KfsTp/PwKPmhxGeq+1BNagoAuyR5KSTVt7GqTiDMahtE1EQrb52XGRhcgcPvstsOj697EAFRPFJDRAFwDHCOQQ==" saltValue="e1rdMiursd4PeSipZqlDaw==" spinCount="100000" sheet="1" objects="1" scenarios="1"/>
  <mergeCells count="4">
    <mergeCell ref="A1:Y1"/>
    <mergeCell ref="A2:F2"/>
    <mergeCell ref="H2:S2"/>
    <mergeCell ref="U2:X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D405-5150-4A4F-A10C-B165E42C1018}">
  <dimension ref="A2:G63"/>
  <sheetViews>
    <sheetView tabSelected="1" zoomScale="140" zoomScaleNormal="140" workbookViewId="0">
      <selection activeCell="B1" sqref="B1"/>
    </sheetView>
  </sheetViews>
  <sheetFormatPr baseColWidth="10" defaultRowHeight="15" x14ac:dyDescent="0.2"/>
  <cols>
    <col min="1" max="1" width="24.5" customWidth="1"/>
    <col min="2" max="7" width="15.6640625" customWidth="1"/>
    <col min="8" max="8" width="14.33203125" customWidth="1"/>
    <col min="9" max="9" width="11.1640625" bestFit="1" customWidth="1"/>
  </cols>
  <sheetData>
    <row r="2" spans="1:4" x14ac:dyDescent="0.2">
      <c r="B2" s="284" t="s">
        <v>381</v>
      </c>
      <c r="C2" s="284"/>
    </row>
    <row r="3" spans="1:4" x14ac:dyDescent="0.2">
      <c r="B3" s="31" t="s">
        <v>230</v>
      </c>
      <c r="C3" s="31" t="s">
        <v>140</v>
      </c>
    </row>
    <row r="4" spans="1:4" x14ac:dyDescent="0.2">
      <c r="A4" s="34" t="s">
        <v>141</v>
      </c>
      <c r="B4" s="104">
        <v>1527787.7603415428</v>
      </c>
      <c r="C4" s="104">
        <v>1979524.6864315427</v>
      </c>
      <c r="D4" s="19"/>
    </row>
    <row r="5" spans="1:4" x14ac:dyDescent="0.2">
      <c r="A5" s="34" t="s">
        <v>142</v>
      </c>
      <c r="B5" s="104">
        <v>169817.77604102192</v>
      </c>
      <c r="C5" s="104">
        <v>940760.60344102199</v>
      </c>
    </row>
    <row r="6" spans="1:4" x14ac:dyDescent="0.2">
      <c r="A6" s="34" t="s">
        <v>143</v>
      </c>
      <c r="B6" s="104">
        <v>56279.001471291762</v>
      </c>
      <c r="C6" s="104">
        <v>472481.34942129167</v>
      </c>
      <c r="D6" s="19"/>
    </row>
    <row r="7" spans="1:4" x14ac:dyDescent="0.2">
      <c r="A7" s="34" t="s">
        <v>148</v>
      </c>
      <c r="B7" s="104">
        <v>305520.0323573724</v>
      </c>
      <c r="C7" s="104">
        <v>395526.85303737223</v>
      </c>
      <c r="D7" s="48"/>
    </row>
    <row r="8" spans="1:4" x14ac:dyDescent="0.2">
      <c r="A8" s="34" t="s">
        <v>149</v>
      </c>
      <c r="B8" s="104">
        <v>58657.071193164848</v>
      </c>
      <c r="C8" s="104">
        <v>185399.36796316481</v>
      </c>
    </row>
    <row r="9" spans="1:4" x14ac:dyDescent="0.2">
      <c r="A9" s="34" t="s">
        <v>144</v>
      </c>
      <c r="B9" s="104">
        <v>307369.23055998876</v>
      </c>
      <c r="C9" s="104">
        <v>418036.48814998876</v>
      </c>
    </row>
    <row r="10" spans="1:4" x14ac:dyDescent="0.2">
      <c r="A10" s="34" t="s">
        <v>145</v>
      </c>
      <c r="B10" s="104">
        <v>386801.45221561752</v>
      </c>
      <c r="C10" s="104">
        <v>843477.60794561752</v>
      </c>
    </row>
    <row r="11" spans="1:4" x14ac:dyDescent="0.2">
      <c r="A11" s="34" t="s">
        <v>146</v>
      </c>
      <c r="B11" s="104">
        <v>4608.4730900000004</v>
      </c>
      <c r="C11" s="104">
        <v>431814.95234999998</v>
      </c>
    </row>
    <row r="12" spans="1:4" x14ac:dyDescent="0.2">
      <c r="A12" s="34" t="s">
        <v>147</v>
      </c>
      <c r="B12" s="104">
        <v>1323.3999999999999</v>
      </c>
      <c r="C12" s="104">
        <v>3600.5</v>
      </c>
    </row>
    <row r="13" spans="1:4" x14ac:dyDescent="0.2">
      <c r="A13" s="34" t="s">
        <v>90</v>
      </c>
      <c r="B13" s="104">
        <v>44560.249000000011</v>
      </c>
      <c r="C13" s="104">
        <v>51034.479560000007</v>
      </c>
    </row>
    <row r="14" spans="1:4" x14ac:dyDescent="0.2">
      <c r="A14" s="34" t="s">
        <v>91</v>
      </c>
      <c r="B14" s="104">
        <v>35448.747439999999</v>
      </c>
      <c r="C14" s="104">
        <v>59754.924570000003</v>
      </c>
    </row>
    <row r="15" spans="1:4" s="17" customFormat="1" x14ac:dyDescent="0.2">
      <c r="A15" s="105" t="s">
        <v>115</v>
      </c>
      <c r="B15" s="104">
        <v>2898173.1937099998</v>
      </c>
      <c r="C15" s="104">
        <v>5781411.8128699986</v>
      </c>
    </row>
    <row r="19" spans="1:4" x14ac:dyDescent="0.2">
      <c r="A19" t="s">
        <v>382</v>
      </c>
      <c r="B19" s="35">
        <v>184757</v>
      </c>
    </row>
    <row r="20" spans="1:4" x14ac:dyDescent="0.2">
      <c r="A20" t="s">
        <v>383</v>
      </c>
      <c r="B20" s="35">
        <v>171357</v>
      </c>
    </row>
    <row r="23" spans="1:4" x14ac:dyDescent="0.2">
      <c r="B23" s="51" t="s">
        <v>151</v>
      </c>
      <c r="C23" s="51" t="s">
        <v>152</v>
      </c>
      <c r="D23" s="51" t="s">
        <v>364</v>
      </c>
    </row>
    <row r="24" spans="1:4" x14ac:dyDescent="0.2">
      <c r="A24">
        <v>2010</v>
      </c>
      <c r="B24" s="36">
        <v>205015</v>
      </c>
      <c r="C24" s="33">
        <v>188758</v>
      </c>
    </row>
    <row r="25" spans="1:4" x14ac:dyDescent="0.2">
      <c r="A25">
        <v>2011</v>
      </c>
      <c r="B25" s="36">
        <v>203670</v>
      </c>
      <c r="C25" s="33">
        <v>188857</v>
      </c>
    </row>
    <row r="26" spans="1:4" x14ac:dyDescent="0.2">
      <c r="A26">
        <v>2012</v>
      </c>
      <c r="B26" s="36">
        <v>198328</v>
      </c>
      <c r="C26" s="33">
        <v>185653</v>
      </c>
    </row>
    <row r="27" spans="1:4" x14ac:dyDescent="0.2">
      <c r="A27">
        <v>2013</v>
      </c>
      <c r="B27" s="36">
        <v>194913</v>
      </c>
      <c r="C27" s="33">
        <v>182622</v>
      </c>
      <c r="D27">
        <f>B27/C27</f>
        <v>1.0673029536419489</v>
      </c>
    </row>
    <row r="28" spans="1:4" x14ac:dyDescent="0.2">
      <c r="A28">
        <v>2014</v>
      </c>
      <c r="B28" s="36">
        <v>193360</v>
      </c>
      <c r="C28" s="33">
        <v>182320</v>
      </c>
      <c r="D28">
        <f>B28/C28</f>
        <v>1.0605528740675736</v>
      </c>
    </row>
    <row r="29" spans="1:4" x14ac:dyDescent="0.2">
      <c r="A29">
        <v>2015</v>
      </c>
      <c r="B29" s="36">
        <v>192949</v>
      </c>
      <c r="C29" s="33">
        <v>181854</v>
      </c>
      <c r="D29">
        <f t="shared" ref="D29:D34" si="0">B29/C29</f>
        <v>1.0610104809352559</v>
      </c>
    </row>
    <row r="30" spans="1:4" x14ac:dyDescent="0.2">
      <c r="A30">
        <v>2016</v>
      </c>
      <c r="B30" s="36">
        <v>188405</v>
      </c>
      <c r="C30" s="33">
        <v>177551</v>
      </c>
      <c r="D30">
        <f t="shared" si="0"/>
        <v>1.0611317311645667</v>
      </c>
    </row>
    <row r="31" spans="1:4" x14ac:dyDescent="0.2">
      <c r="A31">
        <v>2017</v>
      </c>
      <c r="B31" s="36">
        <v>184631</v>
      </c>
      <c r="C31" s="33">
        <v>173192</v>
      </c>
      <c r="D31">
        <f t="shared" si="0"/>
        <v>1.0660480853619105</v>
      </c>
    </row>
    <row r="32" spans="1:4" x14ac:dyDescent="0.2">
      <c r="A32">
        <v>2018</v>
      </c>
      <c r="B32" s="36">
        <v>181814</v>
      </c>
      <c r="C32" s="33">
        <v>170593</v>
      </c>
      <c r="D32">
        <f t="shared" si="0"/>
        <v>1.0657764386580926</v>
      </c>
    </row>
    <row r="33" spans="1:5" x14ac:dyDescent="0.2">
      <c r="A33">
        <v>2019</v>
      </c>
      <c r="B33" s="36">
        <v>181128</v>
      </c>
      <c r="C33" s="33">
        <v>170457</v>
      </c>
      <c r="D33">
        <f t="shared" si="0"/>
        <v>1.0626022985269012</v>
      </c>
    </row>
    <row r="34" spans="1:5" x14ac:dyDescent="0.2">
      <c r="A34">
        <v>2020</v>
      </c>
      <c r="B34" s="36">
        <v>182587</v>
      </c>
      <c r="C34" s="33">
        <v>171357</v>
      </c>
      <c r="D34">
        <f t="shared" si="0"/>
        <v>1.0655356944857812</v>
      </c>
    </row>
    <row r="35" spans="1:5" x14ac:dyDescent="0.2">
      <c r="A35">
        <v>2021</v>
      </c>
      <c r="B35" s="36">
        <v>184757</v>
      </c>
      <c r="C35" s="33"/>
    </row>
    <row r="36" spans="1:5" x14ac:dyDescent="0.2">
      <c r="C36" t="s">
        <v>256</v>
      </c>
      <c r="D36" s="118">
        <f>AVERAGE(D27:D34)</f>
        <v>1.0637450696052537</v>
      </c>
    </row>
    <row r="40" spans="1:5" x14ac:dyDescent="0.2">
      <c r="A40" s="67" t="s">
        <v>95</v>
      </c>
      <c r="B40" s="124" t="s">
        <v>262</v>
      </c>
    </row>
    <row r="41" spans="1:5" x14ac:dyDescent="0.2">
      <c r="A41" s="1" t="s">
        <v>355</v>
      </c>
      <c r="B41" s="125">
        <v>1000000</v>
      </c>
      <c r="C41" s="125"/>
    </row>
    <row r="42" spans="1:5" x14ac:dyDescent="0.2">
      <c r="A42" s="1" t="s">
        <v>356</v>
      </c>
      <c r="B42" s="125">
        <v>3000000</v>
      </c>
      <c r="C42" s="125"/>
    </row>
    <row r="43" spans="1:5" x14ac:dyDescent="0.2">
      <c r="A43" s="1" t="s">
        <v>357</v>
      </c>
      <c r="B43" s="125">
        <v>1500000</v>
      </c>
      <c r="C43" s="125"/>
    </row>
    <row r="44" spans="1:5" x14ac:dyDescent="0.2">
      <c r="A44" s="1" t="s">
        <v>358</v>
      </c>
      <c r="B44" s="125">
        <v>3500000</v>
      </c>
      <c r="C44" s="125"/>
    </row>
    <row r="45" spans="1:5" x14ac:dyDescent="0.2">
      <c r="A45" s="1" t="s">
        <v>376</v>
      </c>
      <c r="B45" s="125">
        <v>2500000</v>
      </c>
      <c r="C45" s="125"/>
    </row>
    <row r="46" spans="1:5" x14ac:dyDescent="0.2">
      <c r="A46" s="17" t="s">
        <v>184</v>
      </c>
      <c r="B46" s="207">
        <v>49252985</v>
      </c>
    </row>
    <row r="48" spans="1:5" ht="26" x14ac:dyDescent="0.2">
      <c r="A48" s="67" t="s">
        <v>95</v>
      </c>
      <c r="B48" s="161" t="s">
        <v>365</v>
      </c>
      <c r="C48" s="161" t="s">
        <v>366</v>
      </c>
      <c r="D48" s="161" t="s">
        <v>310</v>
      </c>
      <c r="E48" s="161" t="s">
        <v>320</v>
      </c>
    </row>
    <row r="49" spans="1:7" x14ac:dyDescent="0.2">
      <c r="A49" s="1" t="s">
        <v>355</v>
      </c>
      <c r="B49" s="18">
        <v>4000</v>
      </c>
      <c r="C49">
        <v>3000</v>
      </c>
      <c r="D49">
        <v>1500</v>
      </c>
      <c r="E49" s="174">
        <f t="shared" ref="E49:E54" si="1">C49+D49</f>
        <v>4500</v>
      </c>
    </row>
    <row r="50" spans="1:7" x14ac:dyDescent="0.2">
      <c r="A50" s="1" t="s">
        <v>356</v>
      </c>
      <c r="B50" s="18">
        <v>20000</v>
      </c>
      <c r="C50">
        <v>15000</v>
      </c>
      <c r="D50">
        <v>3000</v>
      </c>
      <c r="E50" s="174">
        <f t="shared" si="1"/>
        <v>18000</v>
      </c>
    </row>
    <row r="51" spans="1:7" x14ac:dyDescent="0.2">
      <c r="A51" s="1" t="s">
        <v>357</v>
      </c>
      <c r="B51" s="18">
        <v>6500</v>
      </c>
      <c r="C51">
        <v>5000</v>
      </c>
      <c r="D51">
        <v>2000</v>
      </c>
      <c r="E51" s="174">
        <f t="shared" si="1"/>
        <v>7000</v>
      </c>
    </row>
    <row r="52" spans="1:7" x14ac:dyDescent="0.2">
      <c r="A52" s="1" t="s">
        <v>358</v>
      </c>
      <c r="B52" s="18">
        <v>13000</v>
      </c>
      <c r="C52">
        <v>10000</v>
      </c>
      <c r="D52">
        <v>3000</v>
      </c>
      <c r="E52" s="174">
        <f t="shared" si="1"/>
        <v>13000</v>
      </c>
    </row>
    <row r="53" spans="1:7" x14ac:dyDescent="0.2">
      <c r="A53" s="1" t="s">
        <v>376</v>
      </c>
      <c r="B53" s="18">
        <v>7500</v>
      </c>
      <c r="C53">
        <v>6000</v>
      </c>
      <c r="D53">
        <v>2000</v>
      </c>
      <c r="E53" s="174">
        <f t="shared" si="1"/>
        <v>8000</v>
      </c>
    </row>
    <row r="54" spans="1:7" ht="16" x14ac:dyDescent="0.2">
      <c r="B54" s="206">
        <v>184757</v>
      </c>
      <c r="C54" s="206">
        <v>124276</v>
      </c>
      <c r="D54" s="206">
        <v>56458</v>
      </c>
      <c r="E54" s="175">
        <f t="shared" si="1"/>
        <v>180734</v>
      </c>
    </row>
    <row r="56" spans="1:7" x14ac:dyDescent="0.2">
      <c r="B56" s="165"/>
      <c r="G56" s="201"/>
    </row>
    <row r="57" spans="1:7" ht="26" x14ac:dyDescent="0.2">
      <c r="A57" s="67" t="s">
        <v>95</v>
      </c>
      <c r="B57" s="161" t="s">
        <v>373</v>
      </c>
      <c r="G57" s="201"/>
    </row>
    <row r="58" spans="1:7" x14ac:dyDescent="0.2">
      <c r="A58" s="1" t="s">
        <v>355</v>
      </c>
      <c r="B58" s="18">
        <v>25000000</v>
      </c>
      <c r="D58" s="18"/>
      <c r="G58" s="201"/>
    </row>
    <row r="59" spans="1:7" x14ac:dyDescent="0.2">
      <c r="A59" s="1" t="s">
        <v>356</v>
      </c>
      <c r="B59" s="18">
        <v>75000000</v>
      </c>
      <c r="D59" s="18"/>
    </row>
    <row r="60" spans="1:7" x14ac:dyDescent="0.2">
      <c r="A60" s="1" t="s">
        <v>357</v>
      </c>
      <c r="B60" s="18">
        <v>35000000</v>
      </c>
      <c r="D60" s="18"/>
    </row>
    <row r="61" spans="1:7" x14ac:dyDescent="0.2">
      <c r="A61" s="1" t="s">
        <v>358</v>
      </c>
      <c r="B61" s="18">
        <v>100000000</v>
      </c>
      <c r="D61" s="18"/>
    </row>
    <row r="62" spans="1:7" x14ac:dyDescent="0.2">
      <c r="A62" s="1" t="s">
        <v>376</v>
      </c>
      <c r="B62" s="18">
        <v>50000000</v>
      </c>
      <c r="D62" s="18"/>
    </row>
    <row r="63" spans="1:7" ht="16" x14ac:dyDescent="0.2">
      <c r="B63" s="251">
        <v>1151046600</v>
      </c>
      <c r="D63" s="208"/>
    </row>
  </sheetData>
  <sheetProtection algorithmName="SHA-512" hashValue="vQrddFw+SOUdTrdLYlG+R+ddd6f/Ldxg3BHa6JFmJ458J5e+zA2Suw0s3QJs+oTqR2Nh2MEsCXJ/Lsm1LRc8yg==" saltValue="/T3L4mr3msg7gMkhAbWrlQ==" spinCount="100000" sheet="1" objects="1" scenarios="1"/>
  <mergeCells count="1">
    <mergeCell ref="B2:C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D3AD-EE00-F34F-90F0-E05C13FE36AD}">
  <dimension ref="A3:EO22"/>
  <sheetViews>
    <sheetView workbookViewId="0">
      <selection activeCell="C26" sqref="C26"/>
    </sheetView>
  </sheetViews>
  <sheetFormatPr baseColWidth="10" defaultRowHeight="15" x14ac:dyDescent="0.2"/>
  <cols>
    <col min="1" max="1" width="37.1640625" bestFit="1" customWidth="1"/>
    <col min="2" max="2" width="21" bestFit="1" customWidth="1"/>
    <col min="3" max="3" width="16.83203125" bestFit="1" customWidth="1"/>
    <col min="4" max="4" width="35" bestFit="1" customWidth="1"/>
    <col min="5" max="5" width="16.83203125" bestFit="1" customWidth="1"/>
    <col min="6" max="6" width="30.6640625" bestFit="1" customWidth="1"/>
    <col min="7" max="7" width="16.83203125" bestFit="1" customWidth="1"/>
    <col min="8" max="8" width="17.83203125" bestFit="1" customWidth="1"/>
    <col min="9" max="9" width="16.83203125" bestFit="1" customWidth="1"/>
    <col min="10" max="10" width="26.33203125" bestFit="1" customWidth="1"/>
    <col min="11" max="11" width="16.83203125" bestFit="1" customWidth="1"/>
    <col min="12" max="12" width="18.33203125" bestFit="1" customWidth="1"/>
    <col min="13" max="13" width="16.83203125" bestFit="1" customWidth="1"/>
    <col min="14" max="14" width="17" bestFit="1" customWidth="1"/>
    <col min="15" max="15" width="16.83203125" bestFit="1" customWidth="1"/>
    <col min="16" max="16" width="25.5" bestFit="1" customWidth="1"/>
    <col min="17" max="17" width="16.83203125" bestFit="1" customWidth="1"/>
    <col min="18" max="18" width="25.33203125" bestFit="1" customWidth="1"/>
    <col min="19" max="19" width="16.83203125" bestFit="1" customWidth="1"/>
    <col min="20" max="20" width="30.1640625" bestFit="1" customWidth="1"/>
    <col min="21" max="21" width="16.83203125" bestFit="1" customWidth="1"/>
    <col min="22" max="22" width="17" bestFit="1" customWidth="1"/>
    <col min="23" max="23" width="16.83203125" bestFit="1" customWidth="1"/>
    <col min="24" max="24" width="47.5" bestFit="1" customWidth="1"/>
    <col min="25" max="25" width="16.83203125" bestFit="1" customWidth="1"/>
    <col min="26" max="26" width="19.5" bestFit="1" customWidth="1"/>
    <col min="27" max="27" width="16.83203125" bestFit="1" customWidth="1"/>
    <col min="28" max="28" width="17" bestFit="1" customWidth="1"/>
    <col min="29" max="29" width="16.83203125" bestFit="1" customWidth="1"/>
    <col min="30" max="30" width="19.5" bestFit="1" customWidth="1"/>
    <col min="31" max="31" width="16.83203125" bestFit="1" customWidth="1"/>
    <col min="32" max="32" width="27.83203125" bestFit="1" customWidth="1"/>
    <col min="33" max="33" width="16.83203125" bestFit="1" customWidth="1"/>
    <col min="34" max="34" width="23.33203125" bestFit="1" customWidth="1"/>
    <col min="35" max="35" width="16.83203125" bestFit="1" customWidth="1"/>
    <col min="36" max="36" width="17" bestFit="1" customWidth="1"/>
    <col min="37" max="37" width="16.83203125" bestFit="1" customWidth="1"/>
    <col min="38" max="38" width="31.1640625" bestFit="1" customWidth="1"/>
    <col min="39" max="39" width="16.83203125" bestFit="1" customWidth="1"/>
    <col min="40" max="40" width="17" bestFit="1" customWidth="1"/>
    <col min="41" max="41" width="16.83203125" bestFit="1" customWidth="1"/>
    <col min="42" max="42" width="17" bestFit="1" customWidth="1"/>
    <col min="43" max="43" width="16.83203125" bestFit="1" customWidth="1"/>
    <col min="44" max="44" width="38.5" bestFit="1" customWidth="1"/>
    <col min="45" max="45" width="16.83203125" bestFit="1" customWidth="1"/>
    <col min="46" max="46" width="37.33203125" bestFit="1" customWidth="1"/>
    <col min="47" max="47" width="16.83203125" bestFit="1" customWidth="1"/>
    <col min="48" max="48" width="17" bestFit="1" customWidth="1"/>
    <col min="49" max="49" width="16.83203125" bestFit="1" customWidth="1"/>
    <col min="50" max="50" width="18.5" bestFit="1" customWidth="1"/>
    <col min="51" max="51" width="16.83203125" bestFit="1" customWidth="1"/>
    <col min="52" max="52" width="23.6640625" bestFit="1" customWidth="1"/>
    <col min="53" max="53" width="16.83203125" bestFit="1" customWidth="1"/>
    <col min="54" max="54" width="17" bestFit="1" customWidth="1"/>
    <col min="55" max="55" width="16.83203125" bestFit="1" customWidth="1"/>
    <col min="56" max="56" width="24.5" bestFit="1" customWidth="1"/>
    <col min="57" max="57" width="16.83203125" bestFit="1" customWidth="1"/>
    <col min="58" max="58" width="25.6640625" bestFit="1" customWidth="1"/>
    <col min="59" max="59" width="16.83203125" bestFit="1" customWidth="1"/>
    <col min="60" max="60" width="26.83203125" bestFit="1" customWidth="1"/>
    <col min="61" max="61" width="16.83203125" bestFit="1" customWidth="1"/>
    <col min="62" max="62" width="20.1640625" bestFit="1" customWidth="1"/>
    <col min="63" max="63" width="16.83203125" bestFit="1" customWidth="1"/>
    <col min="64" max="64" width="17" bestFit="1" customWidth="1"/>
    <col min="65" max="65" width="16.83203125" bestFit="1" customWidth="1"/>
    <col min="66" max="66" width="17" bestFit="1" customWidth="1"/>
    <col min="67" max="67" width="16.83203125" bestFit="1" customWidth="1"/>
    <col min="68" max="68" width="17" bestFit="1" customWidth="1"/>
    <col min="69" max="69" width="16.83203125" bestFit="1" customWidth="1"/>
    <col min="70" max="70" width="19.1640625" bestFit="1" customWidth="1"/>
    <col min="71" max="71" width="16.83203125" bestFit="1" customWidth="1"/>
    <col min="72" max="72" width="25.33203125" bestFit="1" customWidth="1"/>
    <col min="73" max="73" width="16.83203125" bestFit="1" customWidth="1"/>
    <col min="74" max="74" width="27.33203125" bestFit="1" customWidth="1"/>
    <col min="75" max="75" width="16.83203125" bestFit="1" customWidth="1"/>
    <col min="76" max="76" width="17" bestFit="1" customWidth="1"/>
    <col min="77" max="77" width="16.83203125" bestFit="1" customWidth="1"/>
    <col min="78" max="78" width="21.83203125" bestFit="1" customWidth="1"/>
    <col min="79" max="79" width="16.83203125" bestFit="1" customWidth="1"/>
    <col min="80" max="80" width="20.6640625" bestFit="1" customWidth="1"/>
    <col min="81" max="81" width="16.83203125" bestFit="1" customWidth="1"/>
    <col min="82" max="82" width="25.33203125" bestFit="1" customWidth="1"/>
    <col min="83" max="83" width="16.83203125" bestFit="1" customWidth="1"/>
    <col min="84" max="84" width="17" bestFit="1" customWidth="1"/>
    <col min="85" max="85" width="16.83203125" bestFit="1" customWidth="1"/>
    <col min="86" max="86" width="17" bestFit="1" customWidth="1"/>
    <col min="87" max="87" width="16.83203125" bestFit="1" customWidth="1"/>
    <col min="88" max="88" width="17" bestFit="1" customWidth="1"/>
    <col min="89" max="89" width="16.83203125" bestFit="1" customWidth="1"/>
    <col min="90" max="90" width="18.1640625" bestFit="1" customWidth="1"/>
    <col min="91" max="91" width="16.83203125" bestFit="1" customWidth="1"/>
    <col min="92" max="92" width="47.33203125" bestFit="1" customWidth="1"/>
    <col min="93" max="93" width="16.83203125" bestFit="1" customWidth="1"/>
    <col min="94" max="94" width="25.5" bestFit="1" customWidth="1"/>
    <col min="95" max="95" width="16.83203125" bestFit="1" customWidth="1"/>
    <col min="96" max="96" width="17" bestFit="1" customWidth="1"/>
    <col min="97" max="97" width="16.83203125" bestFit="1" customWidth="1"/>
    <col min="98" max="98" width="26.83203125" bestFit="1" customWidth="1"/>
    <col min="99" max="99" width="16.83203125" bestFit="1" customWidth="1"/>
    <col min="100" max="100" width="17" bestFit="1" customWidth="1"/>
    <col min="101" max="101" width="16.83203125" bestFit="1" customWidth="1"/>
    <col min="102" max="102" width="27.1640625" bestFit="1" customWidth="1"/>
    <col min="103" max="103" width="16.83203125" bestFit="1" customWidth="1"/>
    <col min="104" max="104" width="26.33203125" bestFit="1" customWidth="1"/>
    <col min="105" max="105" width="16.83203125" bestFit="1" customWidth="1"/>
    <col min="106" max="106" width="22.83203125" bestFit="1" customWidth="1"/>
    <col min="107" max="107" width="16.83203125" bestFit="1" customWidth="1"/>
    <col min="108" max="108" width="17" bestFit="1" customWidth="1"/>
    <col min="109" max="109" width="16.83203125" bestFit="1" customWidth="1"/>
    <col min="110" max="110" width="25.5" bestFit="1" customWidth="1"/>
    <col min="111" max="111" width="16.83203125" bestFit="1" customWidth="1"/>
    <col min="112" max="112" width="29" bestFit="1" customWidth="1"/>
    <col min="113" max="113" width="16.83203125" bestFit="1" customWidth="1"/>
    <col min="114" max="114" width="19.6640625" bestFit="1" customWidth="1"/>
    <col min="115" max="115" width="16.83203125" bestFit="1" customWidth="1"/>
    <col min="116" max="116" width="24.6640625" bestFit="1" customWidth="1"/>
    <col min="117" max="117" width="16.83203125" bestFit="1" customWidth="1"/>
    <col min="118" max="118" width="21.6640625" bestFit="1" customWidth="1"/>
    <col min="119" max="119" width="16.83203125" bestFit="1" customWidth="1"/>
    <col min="120" max="120" width="23" bestFit="1" customWidth="1"/>
    <col min="121" max="121" width="16.83203125" bestFit="1" customWidth="1"/>
    <col min="122" max="122" width="20.5" bestFit="1" customWidth="1"/>
    <col min="123" max="123" width="16.83203125" bestFit="1" customWidth="1"/>
    <col min="124" max="124" width="17" bestFit="1" customWidth="1"/>
    <col min="125" max="125" width="16.83203125" bestFit="1" customWidth="1"/>
    <col min="126" max="126" width="17" bestFit="1" customWidth="1"/>
    <col min="127" max="127" width="16.83203125" bestFit="1" customWidth="1"/>
    <col min="128" max="128" width="23.5" bestFit="1" customWidth="1"/>
    <col min="129" max="129" width="16.83203125" bestFit="1" customWidth="1"/>
    <col min="130" max="130" width="18.33203125" bestFit="1" customWidth="1"/>
    <col min="131" max="131" width="16.83203125" bestFit="1" customWidth="1"/>
    <col min="132" max="132" width="17" bestFit="1" customWidth="1"/>
    <col min="133" max="133" width="16.83203125" bestFit="1" customWidth="1"/>
    <col min="134" max="134" width="22" bestFit="1" customWidth="1"/>
    <col min="135" max="135" width="16.83203125" bestFit="1" customWidth="1"/>
    <col min="136" max="136" width="17" bestFit="1" customWidth="1"/>
    <col min="137" max="137" width="16.83203125" bestFit="1" customWidth="1"/>
    <col min="138" max="138" width="17" bestFit="1" customWidth="1"/>
    <col min="139" max="139" width="16.83203125" bestFit="1" customWidth="1"/>
    <col min="140" max="140" width="40.83203125" bestFit="1" customWidth="1"/>
    <col min="141" max="141" width="16.83203125" bestFit="1" customWidth="1"/>
    <col min="142" max="142" width="17" bestFit="1" customWidth="1"/>
    <col min="143" max="143" width="16.83203125" bestFit="1" customWidth="1"/>
    <col min="144" max="144" width="21.1640625" bestFit="1" customWidth="1"/>
    <col min="145" max="145" width="21" bestFit="1" customWidth="1"/>
  </cols>
  <sheetData>
    <row r="3" spans="1:145" x14ac:dyDescent="0.2">
      <c r="B3" s="14" t="s">
        <v>139</v>
      </c>
    </row>
    <row r="4" spans="1:145" x14ac:dyDescent="0.2">
      <c r="B4" t="s">
        <v>46</v>
      </c>
      <c r="D4" t="s">
        <v>50</v>
      </c>
      <c r="F4" t="s">
        <v>27</v>
      </c>
      <c r="H4" t="s">
        <v>28</v>
      </c>
      <c r="J4" t="s">
        <v>90</v>
      </c>
      <c r="L4" t="s">
        <v>40</v>
      </c>
      <c r="N4" t="s">
        <v>42</v>
      </c>
      <c r="P4" t="s">
        <v>43</v>
      </c>
      <c r="R4" t="s">
        <v>54</v>
      </c>
      <c r="T4" t="s">
        <v>31</v>
      </c>
      <c r="V4" t="s">
        <v>67</v>
      </c>
      <c r="X4" t="s">
        <v>30</v>
      </c>
      <c r="Z4" t="s">
        <v>26</v>
      </c>
      <c r="AB4" t="s">
        <v>39</v>
      </c>
      <c r="AD4" t="s">
        <v>60</v>
      </c>
      <c r="AF4" t="s">
        <v>63</v>
      </c>
      <c r="AH4" t="s">
        <v>55</v>
      </c>
      <c r="AJ4" t="s">
        <v>56</v>
      </c>
      <c r="AL4" t="s">
        <v>61</v>
      </c>
      <c r="AN4" t="s">
        <v>75</v>
      </c>
      <c r="AP4" t="s">
        <v>81</v>
      </c>
      <c r="AR4" t="s">
        <v>23</v>
      </c>
      <c r="AT4" t="s">
        <v>62</v>
      </c>
      <c r="AV4" t="s">
        <v>2</v>
      </c>
      <c r="AX4" t="s">
        <v>69</v>
      </c>
      <c r="AZ4" t="s">
        <v>49</v>
      </c>
      <c r="BB4" t="s">
        <v>80</v>
      </c>
      <c r="BD4" t="s">
        <v>35</v>
      </c>
      <c r="BF4" t="s">
        <v>34</v>
      </c>
      <c r="BH4" t="s">
        <v>29</v>
      </c>
      <c r="BJ4" t="s">
        <v>57</v>
      </c>
      <c r="BL4" t="s">
        <v>36</v>
      </c>
      <c r="BN4" t="s">
        <v>47</v>
      </c>
      <c r="BP4" t="s">
        <v>91</v>
      </c>
      <c r="BR4" t="s">
        <v>48</v>
      </c>
      <c r="BT4" t="s">
        <v>85</v>
      </c>
      <c r="BV4" t="s">
        <v>78</v>
      </c>
      <c r="BX4" t="s">
        <v>33</v>
      </c>
      <c r="BZ4" t="s">
        <v>73</v>
      </c>
      <c r="CB4" t="s">
        <v>41</v>
      </c>
      <c r="CD4" t="s">
        <v>64</v>
      </c>
      <c r="CF4" t="s">
        <v>87</v>
      </c>
      <c r="CH4" t="s">
        <v>77</v>
      </c>
      <c r="CJ4" t="s">
        <v>71</v>
      </c>
      <c r="CL4" t="s">
        <v>68</v>
      </c>
      <c r="CN4" t="s">
        <v>25</v>
      </c>
      <c r="CP4" t="s">
        <v>82</v>
      </c>
      <c r="CR4" t="s">
        <v>74</v>
      </c>
      <c r="CT4" t="s">
        <v>52</v>
      </c>
      <c r="CV4" t="s">
        <v>84</v>
      </c>
      <c r="CX4" t="s">
        <v>53</v>
      </c>
      <c r="CZ4" t="s">
        <v>58</v>
      </c>
      <c r="DB4" t="s">
        <v>83</v>
      </c>
      <c r="DD4" t="s">
        <v>66</v>
      </c>
      <c r="DF4" t="s">
        <v>37</v>
      </c>
      <c r="DH4" t="s">
        <v>44</v>
      </c>
      <c r="DJ4" t="s">
        <v>51</v>
      </c>
      <c r="DL4" t="s">
        <v>86</v>
      </c>
      <c r="DN4" t="s">
        <v>65</v>
      </c>
      <c r="DP4" t="s">
        <v>32</v>
      </c>
      <c r="DR4" t="s">
        <v>38</v>
      </c>
      <c r="DT4" t="s">
        <v>79</v>
      </c>
      <c r="DV4" t="s">
        <v>45</v>
      </c>
      <c r="DX4" t="s">
        <v>89</v>
      </c>
      <c r="DZ4" t="s">
        <v>59</v>
      </c>
      <c r="EB4" t="s">
        <v>76</v>
      </c>
      <c r="ED4" t="s">
        <v>88</v>
      </c>
      <c r="EF4" t="s">
        <v>70</v>
      </c>
      <c r="EH4" t="s">
        <v>72</v>
      </c>
      <c r="EJ4" t="s">
        <v>24</v>
      </c>
      <c r="EL4" t="s">
        <v>109</v>
      </c>
      <c r="EN4" t="s">
        <v>163</v>
      </c>
      <c r="EO4" t="s">
        <v>164</v>
      </c>
    </row>
    <row r="5" spans="1:145" x14ac:dyDescent="0.2">
      <c r="A5" s="14" t="s">
        <v>108</v>
      </c>
      <c r="B5" t="s">
        <v>110</v>
      </c>
      <c r="C5" t="s">
        <v>121</v>
      </c>
      <c r="D5" t="s">
        <v>110</v>
      </c>
      <c r="E5" t="s">
        <v>121</v>
      </c>
      <c r="F5" t="s">
        <v>110</v>
      </c>
      <c r="G5" t="s">
        <v>121</v>
      </c>
      <c r="H5" t="s">
        <v>110</v>
      </c>
      <c r="I5" t="s">
        <v>121</v>
      </c>
      <c r="J5" t="s">
        <v>110</v>
      </c>
      <c r="K5" t="s">
        <v>121</v>
      </c>
      <c r="L5" t="s">
        <v>110</v>
      </c>
      <c r="M5" t="s">
        <v>121</v>
      </c>
      <c r="N5" t="s">
        <v>110</v>
      </c>
      <c r="O5" t="s">
        <v>121</v>
      </c>
      <c r="P5" t="s">
        <v>110</v>
      </c>
      <c r="Q5" t="s">
        <v>121</v>
      </c>
      <c r="R5" t="s">
        <v>110</v>
      </c>
      <c r="S5" t="s">
        <v>121</v>
      </c>
      <c r="T5" t="s">
        <v>110</v>
      </c>
      <c r="U5" t="s">
        <v>121</v>
      </c>
      <c r="V5" t="s">
        <v>110</v>
      </c>
      <c r="W5" t="s">
        <v>121</v>
      </c>
      <c r="X5" t="s">
        <v>110</v>
      </c>
      <c r="Y5" t="s">
        <v>121</v>
      </c>
      <c r="Z5" t="s">
        <v>110</v>
      </c>
      <c r="AA5" t="s">
        <v>121</v>
      </c>
      <c r="AB5" t="s">
        <v>110</v>
      </c>
      <c r="AC5" t="s">
        <v>121</v>
      </c>
      <c r="AD5" t="s">
        <v>110</v>
      </c>
      <c r="AE5" t="s">
        <v>121</v>
      </c>
      <c r="AF5" t="s">
        <v>110</v>
      </c>
      <c r="AG5" t="s">
        <v>121</v>
      </c>
      <c r="AH5" t="s">
        <v>110</v>
      </c>
      <c r="AI5" t="s">
        <v>121</v>
      </c>
      <c r="AJ5" t="s">
        <v>110</v>
      </c>
      <c r="AK5" t="s">
        <v>121</v>
      </c>
      <c r="AL5" t="s">
        <v>110</v>
      </c>
      <c r="AM5" t="s">
        <v>121</v>
      </c>
      <c r="AN5" t="s">
        <v>110</v>
      </c>
      <c r="AO5" t="s">
        <v>121</v>
      </c>
      <c r="AP5" t="s">
        <v>110</v>
      </c>
      <c r="AQ5" t="s">
        <v>121</v>
      </c>
      <c r="AR5" t="s">
        <v>110</v>
      </c>
      <c r="AS5" t="s">
        <v>121</v>
      </c>
      <c r="AT5" t="s">
        <v>110</v>
      </c>
      <c r="AU5" t="s">
        <v>121</v>
      </c>
      <c r="AV5" t="s">
        <v>110</v>
      </c>
      <c r="AW5" t="s">
        <v>121</v>
      </c>
      <c r="AX5" t="s">
        <v>110</v>
      </c>
      <c r="AY5" t="s">
        <v>121</v>
      </c>
      <c r="AZ5" t="s">
        <v>110</v>
      </c>
      <c r="BA5" t="s">
        <v>121</v>
      </c>
      <c r="BB5" t="s">
        <v>110</v>
      </c>
      <c r="BC5" t="s">
        <v>121</v>
      </c>
      <c r="BD5" t="s">
        <v>110</v>
      </c>
      <c r="BE5" t="s">
        <v>121</v>
      </c>
      <c r="BF5" t="s">
        <v>110</v>
      </c>
      <c r="BG5" t="s">
        <v>121</v>
      </c>
      <c r="BH5" t="s">
        <v>110</v>
      </c>
      <c r="BI5" t="s">
        <v>121</v>
      </c>
      <c r="BJ5" t="s">
        <v>110</v>
      </c>
      <c r="BK5" t="s">
        <v>121</v>
      </c>
      <c r="BL5" t="s">
        <v>110</v>
      </c>
      <c r="BM5" t="s">
        <v>121</v>
      </c>
      <c r="BN5" t="s">
        <v>110</v>
      </c>
      <c r="BO5" t="s">
        <v>121</v>
      </c>
      <c r="BP5" t="s">
        <v>110</v>
      </c>
      <c r="BQ5" t="s">
        <v>121</v>
      </c>
      <c r="BR5" t="s">
        <v>110</v>
      </c>
      <c r="BS5" t="s">
        <v>121</v>
      </c>
      <c r="BT5" t="s">
        <v>110</v>
      </c>
      <c r="BU5" t="s">
        <v>121</v>
      </c>
      <c r="BV5" t="s">
        <v>110</v>
      </c>
      <c r="BW5" t="s">
        <v>121</v>
      </c>
      <c r="BX5" t="s">
        <v>110</v>
      </c>
      <c r="BY5" t="s">
        <v>121</v>
      </c>
      <c r="BZ5" t="s">
        <v>110</v>
      </c>
      <c r="CA5" t="s">
        <v>121</v>
      </c>
      <c r="CB5" t="s">
        <v>110</v>
      </c>
      <c r="CC5" t="s">
        <v>121</v>
      </c>
      <c r="CD5" t="s">
        <v>110</v>
      </c>
      <c r="CE5" t="s">
        <v>121</v>
      </c>
      <c r="CF5" t="s">
        <v>110</v>
      </c>
      <c r="CG5" t="s">
        <v>121</v>
      </c>
      <c r="CH5" t="s">
        <v>110</v>
      </c>
      <c r="CI5" t="s">
        <v>121</v>
      </c>
      <c r="CJ5" t="s">
        <v>110</v>
      </c>
      <c r="CK5" t="s">
        <v>121</v>
      </c>
      <c r="CL5" t="s">
        <v>110</v>
      </c>
      <c r="CM5" t="s">
        <v>121</v>
      </c>
      <c r="CN5" t="s">
        <v>110</v>
      </c>
      <c r="CO5" t="s">
        <v>121</v>
      </c>
      <c r="CP5" t="s">
        <v>110</v>
      </c>
      <c r="CQ5" t="s">
        <v>121</v>
      </c>
      <c r="CR5" t="s">
        <v>110</v>
      </c>
      <c r="CS5" t="s">
        <v>121</v>
      </c>
      <c r="CT5" t="s">
        <v>110</v>
      </c>
      <c r="CU5" t="s">
        <v>121</v>
      </c>
      <c r="CV5" t="s">
        <v>110</v>
      </c>
      <c r="CW5" t="s">
        <v>121</v>
      </c>
      <c r="CX5" t="s">
        <v>110</v>
      </c>
      <c r="CY5" t="s">
        <v>121</v>
      </c>
      <c r="CZ5" t="s">
        <v>110</v>
      </c>
      <c r="DA5" t="s">
        <v>121</v>
      </c>
      <c r="DB5" t="s">
        <v>110</v>
      </c>
      <c r="DC5" t="s">
        <v>121</v>
      </c>
      <c r="DD5" t="s">
        <v>110</v>
      </c>
      <c r="DE5" t="s">
        <v>121</v>
      </c>
      <c r="DF5" t="s">
        <v>110</v>
      </c>
      <c r="DG5" t="s">
        <v>121</v>
      </c>
      <c r="DH5" t="s">
        <v>110</v>
      </c>
      <c r="DI5" t="s">
        <v>121</v>
      </c>
      <c r="DJ5" t="s">
        <v>110</v>
      </c>
      <c r="DK5" t="s">
        <v>121</v>
      </c>
      <c r="DL5" t="s">
        <v>110</v>
      </c>
      <c r="DM5" t="s">
        <v>121</v>
      </c>
      <c r="DN5" t="s">
        <v>110</v>
      </c>
      <c r="DO5" t="s">
        <v>121</v>
      </c>
      <c r="DP5" t="s">
        <v>110</v>
      </c>
      <c r="DQ5" t="s">
        <v>121</v>
      </c>
      <c r="DR5" t="s">
        <v>110</v>
      </c>
      <c r="DS5" t="s">
        <v>121</v>
      </c>
      <c r="DT5" t="s">
        <v>110</v>
      </c>
      <c r="DU5" t="s">
        <v>121</v>
      </c>
      <c r="DV5" t="s">
        <v>110</v>
      </c>
      <c r="DW5" t="s">
        <v>121</v>
      </c>
      <c r="DX5" t="s">
        <v>110</v>
      </c>
      <c r="DY5" t="s">
        <v>121</v>
      </c>
      <c r="DZ5" t="s">
        <v>110</v>
      </c>
      <c r="EA5" t="s">
        <v>121</v>
      </c>
      <c r="EB5" t="s">
        <v>110</v>
      </c>
      <c r="EC5" t="s">
        <v>121</v>
      </c>
      <c r="ED5" t="s">
        <v>110</v>
      </c>
      <c r="EE5" t="s">
        <v>121</v>
      </c>
      <c r="EF5" t="s">
        <v>110</v>
      </c>
      <c r="EG5" t="s">
        <v>121</v>
      </c>
      <c r="EH5" t="s">
        <v>110</v>
      </c>
      <c r="EI5" t="s">
        <v>121</v>
      </c>
      <c r="EJ5" t="s">
        <v>110</v>
      </c>
      <c r="EK5" t="s">
        <v>121</v>
      </c>
      <c r="EL5" t="s">
        <v>110</v>
      </c>
      <c r="EM5" t="s">
        <v>121</v>
      </c>
    </row>
    <row r="6" spans="1:145" x14ac:dyDescent="0.2">
      <c r="A6" s="15" t="s">
        <v>4</v>
      </c>
      <c r="B6">
        <v>2790.1000000000013</v>
      </c>
      <c r="C6">
        <v>2840.7000000000012</v>
      </c>
      <c r="D6">
        <v>0</v>
      </c>
      <c r="E6">
        <v>79</v>
      </c>
      <c r="F6">
        <v>1579.8999999999996</v>
      </c>
      <c r="G6">
        <v>1646.8999999999996</v>
      </c>
      <c r="H6">
        <v>0</v>
      </c>
      <c r="I6">
        <v>0</v>
      </c>
      <c r="J6">
        <v>1025</v>
      </c>
      <c r="K6">
        <v>1437.6000000000001</v>
      </c>
      <c r="L6">
        <v>71.600000000000009</v>
      </c>
      <c r="M6">
        <v>1743.0000000000009</v>
      </c>
      <c r="N6">
        <v>11.5</v>
      </c>
      <c r="O6">
        <v>327.90000000000009</v>
      </c>
      <c r="P6">
        <v>0</v>
      </c>
      <c r="Q6">
        <v>0</v>
      </c>
      <c r="R6">
        <v>245.80000000000004</v>
      </c>
      <c r="S6">
        <v>250.30000000000004</v>
      </c>
      <c r="T6">
        <v>52.900000000000006</v>
      </c>
      <c r="U6">
        <v>54.400000000000006</v>
      </c>
      <c r="V6">
        <v>1058.7999999999997</v>
      </c>
      <c r="W6">
        <v>1322.9999999999998</v>
      </c>
      <c r="X6">
        <v>2718.1</v>
      </c>
      <c r="Y6">
        <v>2754.5</v>
      </c>
      <c r="Z6">
        <v>116.5</v>
      </c>
      <c r="AA6">
        <v>124.3</v>
      </c>
      <c r="AB6">
        <v>0</v>
      </c>
      <c r="AC6">
        <v>0</v>
      </c>
      <c r="AD6">
        <v>4812.7000000000025</v>
      </c>
      <c r="AE6">
        <v>4868.8000000000029</v>
      </c>
      <c r="AF6">
        <v>0</v>
      </c>
      <c r="AG6">
        <v>0</v>
      </c>
      <c r="AH6">
        <v>560.20000000000005</v>
      </c>
      <c r="AI6">
        <v>580.5</v>
      </c>
      <c r="AJ6">
        <v>1214.9000000000001</v>
      </c>
      <c r="AK6">
        <v>10097.199999999999</v>
      </c>
      <c r="AL6">
        <v>1780.1</v>
      </c>
      <c r="AM6">
        <v>1939.6</v>
      </c>
      <c r="AN6">
        <v>0</v>
      </c>
      <c r="AO6">
        <v>0</v>
      </c>
      <c r="AP6">
        <v>597.20000000000005</v>
      </c>
      <c r="AQ6">
        <v>974.1</v>
      </c>
      <c r="AR6">
        <v>19255</v>
      </c>
      <c r="AS6">
        <v>21232.7</v>
      </c>
      <c r="AT6">
        <v>2879.7000000000007</v>
      </c>
      <c r="AU6">
        <v>2957.4000000000005</v>
      </c>
      <c r="AV6">
        <v>60736.600000000006</v>
      </c>
      <c r="AW6">
        <v>86996.5</v>
      </c>
      <c r="AX6">
        <v>509.90000000000026</v>
      </c>
      <c r="AY6">
        <v>766.00000000000023</v>
      </c>
      <c r="AZ6">
        <v>0</v>
      </c>
      <c r="BA6">
        <v>0</v>
      </c>
      <c r="BB6">
        <v>0</v>
      </c>
      <c r="BC6">
        <v>661.4</v>
      </c>
      <c r="BD6">
        <v>-14.3</v>
      </c>
      <c r="BE6">
        <v>335.79999999999995</v>
      </c>
      <c r="BF6">
        <v>0</v>
      </c>
      <c r="BG6">
        <v>8.1999999999999993</v>
      </c>
      <c r="BH6">
        <v>171.50000000000068</v>
      </c>
      <c r="BI6">
        <v>229.10000000000073</v>
      </c>
      <c r="BJ6">
        <v>3370.0999999999981</v>
      </c>
      <c r="BK6">
        <v>7413.0999999999985</v>
      </c>
      <c r="BL6">
        <v>0</v>
      </c>
      <c r="BM6">
        <v>0</v>
      </c>
      <c r="BN6">
        <v>1872</v>
      </c>
      <c r="BO6">
        <v>2027</v>
      </c>
      <c r="BP6">
        <v>599.9</v>
      </c>
      <c r="BQ6">
        <v>701.69999999999993</v>
      </c>
      <c r="BR6">
        <v>0</v>
      </c>
      <c r="BS6">
        <v>0</v>
      </c>
      <c r="BT6">
        <v>0</v>
      </c>
      <c r="BU6">
        <v>115.90000000000002</v>
      </c>
      <c r="BV6">
        <v>309.60000000000002</v>
      </c>
      <c r="BW6">
        <v>309.60000000000002</v>
      </c>
      <c r="BX6">
        <v>0.99999999999999978</v>
      </c>
      <c r="BY6">
        <v>1</v>
      </c>
      <c r="BZ6">
        <v>69</v>
      </c>
      <c r="CA6">
        <v>69</v>
      </c>
      <c r="CB6">
        <v>0</v>
      </c>
      <c r="CC6">
        <v>0</v>
      </c>
      <c r="CD6">
        <v>1681.0999999999997</v>
      </c>
      <c r="CE6">
        <v>1701.9999999999998</v>
      </c>
      <c r="CF6">
        <v>0</v>
      </c>
      <c r="CG6">
        <v>0</v>
      </c>
      <c r="CH6">
        <v>272</v>
      </c>
      <c r="CI6">
        <v>272</v>
      </c>
      <c r="CJ6">
        <v>0</v>
      </c>
      <c r="CK6">
        <v>0</v>
      </c>
      <c r="CL6">
        <v>1168.8000000000004</v>
      </c>
      <c r="CM6">
        <v>1544.6000000000004</v>
      </c>
      <c r="CN6">
        <v>313.8</v>
      </c>
      <c r="CO6">
        <v>355.1</v>
      </c>
      <c r="CP6">
        <v>0</v>
      </c>
      <c r="CQ6">
        <v>0</v>
      </c>
      <c r="CR6">
        <v>2987.1000000000008</v>
      </c>
      <c r="CS6">
        <v>3027.900000000001</v>
      </c>
      <c r="CT6">
        <v>146.4</v>
      </c>
      <c r="CU6">
        <v>461.20000000000005</v>
      </c>
      <c r="CV6">
        <v>465.69999999999993</v>
      </c>
      <c r="CW6">
        <v>770.49999999999977</v>
      </c>
      <c r="CX6">
        <v>-4.5</v>
      </c>
      <c r="CY6">
        <v>365.4</v>
      </c>
      <c r="CZ6">
        <v>570.9</v>
      </c>
      <c r="DA6">
        <v>2742.7000000000007</v>
      </c>
      <c r="DB6">
        <v>0</v>
      </c>
      <c r="DC6">
        <v>1607.2</v>
      </c>
      <c r="DD6">
        <v>386.9</v>
      </c>
      <c r="DE6">
        <v>389.59999999999997</v>
      </c>
      <c r="DF6">
        <v>290.3</v>
      </c>
      <c r="DG6">
        <v>638.6</v>
      </c>
      <c r="DH6">
        <v>0</v>
      </c>
      <c r="DI6">
        <v>0</v>
      </c>
      <c r="DJ6">
        <v>4662.1000000000013</v>
      </c>
      <c r="DK6">
        <v>4946.7000000000016</v>
      </c>
      <c r="DL6">
        <v>1062.9000000000001</v>
      </c>
      <c r="DM6">
        <v>4129.1000000000004</v>
      </c>
      <c r="DN6">
        <v>11153.600000000004</v>
      </c>
      <c r="DO6">
        <v>11467.800000000005</v>
      </c>
      <c r="DP6">
        <v>24207.699999999997</v>
      </c>
      <c r="DQ6">
        <v>26425.999999999996</v>
      </c>
      <c r="DR6">
        <v>276</v>
      </c>
      <c r="DS6">
        <v>982.59999999999991</v>
      </c>
      <c r="DT6">
        <v>11562.500000000002</v>
      </c>
      <c r="DU6">
        <v>12923.7</v>
      </c>
      <c r="DV6">
        <v>83.100000000000009</v>
      </c>
      <c r="DW6">
        <v>2070.900000000001</v>
      </c>
      <c r="DX6">
        <v>0</v>
      </c>
      <c r="DY6">
        <v>0</v>
      </c>
      <c r="DZ6">
        <v>6103.7999999999975</v>
      </c>
      <c r="EA6">
        <v>21910.399999999998</v>
      </c>
      <c r="EB6">
        <v>26.5</v>
      </c>
      <c r="EC6">
        <v>27.6</v>
      </c>
      <c r="ED6">
        <v>0</v>
      </c>
      <c r="EE6">
        <v>0</v>
      </c>
      <c r="EF6">
        <v>2510.3000000000002</v>
      </c>
      <c r="EG6">
        <v>2912.8</v>
      </c>
      <c r="EH6">
        <v>2263.6</v>
      </c>
      <c r="EI6">
        <v>2281.6</v>
      </c>
      <c r="EJ6">
        <v>0</v>
      </c>
      <c r="EK6">
        <v>29.000000000000004</v>
      </c>
      <c r="EN6">
        <v>180585.89999999997</v>
      </c>
      <c r="EO6">
        <v>258851.2000000001</v>
      </c>
    </row>
    <row r="7" spans="1:145" x14ac:dyDescent="0.2">
      <c r="A7" s="15" t="s">
        <v>5</v>
      </c>
      <c r="B7">
        <v>3178.1629200000002</v>
      </c>
      <c r="C7">
        <v>3656.81158</v>
      </c>
      <c r="D7">
        <v>347.91356000000002</v>
      </c>
      <c r="E7">
        <v>351.42731000000003</v>
      </c>
      <c r="F7">
        <v>1966.83905</v>
      </c>
      <c r="G7">
        <v>2211.6495800000002</v>
      </c>
      <c r="H7">
        <v>12.731809999999999</v>
      </c>
      <c r="I7">
        <v>12.731809999999999</v>
      </c>
      <c r="J7">
        <v>1713.3</v>
      </c>
      <c r="K7">
        <v>2384.3246399999998</v>
      </c>
      <c r="L7">
        <v>0</v>
      </c>
      <c r="M7">
        <v>595.65763000000004</v>
      </c>
      <c r="N7">
        <v>432.23068000000001</v>
      </c>
      <c r="O7">
        <v>1483.9554600000001</v>
      </c>
      <c r="P7">
        <v>0</v>
      </c>
      <c r="Q7">
        <v>0</v>
      </c>
      <c r="R7">
        <v>371.54352</v>
      </c>
      <c r="S7">
        <v>450.54892999999998</v>
      </c>
      <c r="T7">
        <v>33.884050000000002</v>
      </c>
      <c r="U7">
        <v>1837.6813999999999</v>
      </c>
      <c r="V7">
        <v>1092.9871499999999</v>
      </c>
      <c r="W7">
        <v>5040.7175299999999</v>
      </c>
      <c r="X7">
        <v>879.49009000000001</v>
      </c>
      <c r="Y7">
        <v>2252.00326</v>
      </c>
      <c r="Z7">
        <v>0</v>
      </c>
      <c r="AA7">
        <v>32.696919999999999</v>
      </c>
      <c r="AB7">
        <v>0</v>
      </c>
      <c r="AC7">
        <v>0</v>
      </c>
      <c r="AD7">
        <v>2512.75567</v>
      </c>
      <c r="AE7">
        <v>2687.0932499999999</v>
      </c>
      <c r="AF7">
        <v>0</v>
      </c>
      <c r="AG7">
        <v>15.18876</v>
      </c>
      <c r="AH7">
        <v>418.95240000000001</v>
      </c>
      <c r="AI7">
        <v>1281.9788600000002</v>
      </c>
      <c r="AJ7">
        <v>7187.3130199999996</v>
      </c>
      <c r="AK7">
        <v>29083.197370000002</v>
      </c>
      <c r="AL7">
        <v>971.79271000000006</v>
      </c>
      <c r="AM7">
        <v>3073.5110300000001</v>
      </c>
      <c r="AN7">
        <v>240.98814999999999</v>
      </c>
      <c r="AO7">
        <v>437.29061000000002</v>
      </c>
      <c r="AP7">
        <v>0</v>
      </c>
      <c r="AQ7">
        <v>3745.9802599999998</v>
      </c>
      <c r="AR7">
        <v>36175.533490000002</v>
      </c>
      <c r="AS7">
        <v>37030.189050000001</v>
      </c>
      <c r="AT7">
        <v>1534.57942</v>
      </c>
      <c r="AU7">
        <v>1638.91893</v>
      </c>
      <c r="AV7">
        <v>80260.843329999989</v>
      </c>
      <c r="AW7">
        <v>154813.08478999999</v>
      </c>
      <c r="AX7">
        <v>282.71980000000002</v>
      </c>
      <c r="AY7">
        <v>522.10885000000007</v>
      </c>
      <c r="AZ7">
        <v>0</v>
      </c>
      <c r="BA7">
        <v>0</v>
      </c>
      <c r="BB7">
        <v>0</v>
      </c>
      <c r="BC7">
        <v>3835.38472</v>
      </c>
      <c r="BD7">
        <v>933.83558000000005</v>
      </c>
      <c r="BE7">
        <v>1361.1707900000001</v>
      </c>
      <c r="BF7">
        <v>0</v>
      </c>
      <c r="BG7">
        <v>0</v>
      </c>
      <c r="BH7">
        <v>1465.2945099999999</v>
      </c>
      <c r="BI7">
        <v>1956.9358399999999</v>
      </c>
      <c r="BJ7">
        <v>1304.9217200000001</v>
      </c>
      <c r="BK7">
        <v>6705.8024000000005</v>
      </c>
      <c r="BL7">
        <v>0</v>
      </c>
      <c r="BM7">
        <v>0</v>
      </c>
      <c r="BN7">
        <v>3352.3388500000001</v>
      </c>
      <c r="BO7">
        <v>3482.7886200000003</v>
      </c>
      <c r="BP7">
        <v>1141.41167</v>
      </c>
      <c r="BQ7">
        <v>1176.8829599999999</v>
      </c>
      <c r="BR7">
        <v>230.45089999999999</v>
      </c>
      <c r="BS7">
        <v>341.82601</v>
      </c>
      <c r="BT7">
        <v>0</v>
      </c>
      <c r="BU7">
        <v>0</v>
      </c>
      <c r="BV7">
        <v>538.55204000000003</v>
      </c>
      <c r="BW7">
        <v>541.01197999999999</v>
      </c>
      <c r="BX7">
        <v>1.0000000000000002</v>
      </c>
      <c r="BY7">
        <v>1.0000000000000002</v>
      </c>
      <c r="BZ7">
        <v>55.5</v>
      </c>
      <c r="CA7">
        <v>2825.0691900000002</v>
      </c>
      <c r="CB7">
        <v>0</v>
      </c>
      <c r="CC7">
        <v>1465.71433</v>
      </c>
      <c r="CD7">
        <v>1453.6117400000001</v>
      </c>
      <c r="CE7">
        <v>1627.7399600000001</v>
      </c>
      <c r="CF7">
        <v>0</v>
      </c>
      <c r="CG7">
        <v>0</v>
      </c>
      <c r="CH7">
        <v>10</v>
      </c>
      <c r="CI7">
        <v>10</v>
      </c>
      <c r="CJ7">
        <v>0</v>
      </c>
      <c r="CK7">
        <v>0</v>
      </c>
      <c r="CL7">
        <v>1193.71138</v>
      </c>
      <c r="CM7">
        <v>4572.5537599999998</v>
      </c>
      <c r="CN7">
        <v>123.7533</v>
      </c>
      <c r="CO7">
        <v>123.7533</v>
      </c>
      <c r="CP7">
        <v>0</v>
      </c>
      <c r="CQ7">
        <v>4405.7759900000001</v>
      </c>
      <c r="CR7">
        <v>357.27904000000001</v>
      </c>
      <c r="CS7">
        <v>1076.1262999999999</v>
      </c>
      <c r="CT7">
        <v>215.08296000000001</v>
      </c>
      <c r="CU7">
        <v>838.87636999999995</v>
      </c>
      <c r="CV7">
        <v>0</v>
      </c>
      <c r="CW7">
        <v>633.86048000000005</v>
      </c>
      <c r="CX7">
        <v>2.5649999999999999E-2</v>
      </c>
      <c r="CY7">
        <v>1621.2301600000001</v>
      </c>
      <c r="CZ7">
        <v>1332.81394</v>
      </c>
      <c r="DA7">
        <v>1571.0352499999999</v>
      </c>
      <c r="DB7">
        <v>0</v>
      </c>
      <c r="DC7">
        <v>609.58155999999997</v>
      </c>
      <c r="DD7">
        <v>234.68869000000001</v>
      </c>
      <c r="DE7">
        <v>235.98719</v>
      </c>
      <c r="DF7">
        <v>265.99086999999997</v>
      </c>
      <c r="DG7">
        <v>293.45465999999999</v>
      </c>
      <c r="DH7">
        <v>69.232870000000005</v>
      </c>
      <c r="DI7">
        <v>1104.47417</v>
      </c>
      <c r="DJ7">
        <v>7108.8662300000005</v>
      </c>
      <c r="DK7">
        <v>7832.8535200000006</v>
      </c>
      <c r="DL7">
        <v>0</v>
      </c>
      <c r="DM7">
        <v>13230.58301</v>
      </c>
      <c r="DN7">
        <v>6472.7395400000005</v>
      </c>
      <c r="DO7">
        <v>9042.4519299999993</v>
      </c>
      <c r="DP7">
        <v>40701.017179999995</v>
      </c>
      <c r="DQ7">
        <v>45505.567539999996</v>
      </c>
      <c r="DR7">
        <v>1199.82645</v>
      </c>
      <c r="DS7">
        <v>1654.62545</v>
      </c>
      <c r="DT7">
        <v>10591.565499999999</v>
      </c>
      <c r="DU7">
        <v>27783.324809999998</v>
      </c>
      <c r="DV7">
        <v>501.46355</v>
      </c>
      <c r="DW7">
        <v>4649.80159</v>
      </c>
      <c r="DX7">
        <v>0</v>
      </c>
      <c r="DY7">
        <v>0</v>
      </c>
      <c r="DZ7">
        <v>10830.65321</v>
      </c>
      <c r="EA7">
        <v>41552.669340000008</v>
      </c>
      <c r="EB7">
        <v>110.22239999999999</v>
      </c>
      <c r="EC7">
        <v>177.61314999999999</v>
      </c>
      <c r="ED7">
        <v>0</v>
      </c>
      <c r="EE7">
        <v>0</v>
      </c>
      <c r="EF7">
        <v>6126.9889499999999</v>
      </c>
      <c r="EG7">
        <v>11996.91835</v>
      </c>
      <c r="EH7">
        <v>347.92790000000002</v>
      </c>
      <c r="EI7">
        <v>347.92790000000002</v>
      </c>
      <c r="EJ7">
        <v>43.490879999999997</v>
      </c>
      <c r="EK7">
        <v>47.926379999999995</v>
      </c>
      <c r="EN7">
        <v>237928.81832000002</v>
      </c>
      <c r="EO7">
        <v>460879.04677000002</v>
      </c>
    </row>
    <row r="8" spans="1:145" x14ac:dyDescent="0.2">
      <c r="A8" s="15" t="s">
        <v>6</v>
      </c>
      <c r="B8">
        <v>211.86465000000001</v>
      </c>
      <c r="C8">
        <v>211.86465000000001</v>
      </c>
      <c r="D8">
        <v>704.08244000000002</v>
      </c>
      <c r="E8">
        <v>704.08244000000002</v>
      </c>
      <c r="F8">
        <v>1931.9647399999997</v>
      </c>
      <c r="G8">
        <v>2039.0552299999997</v>
      </c>
      <c r="H8">
        <v>11.599430000000002</v>
      </c>
      <c r="I8">
        <v>574.28499999999997</v>
      </c>
      <c r="J8">
        <v>0</v>
      </c>
      <c r="K8">
        <v>0</v>
      </c>
      <c r="L8">
        <v>0</v>
      </c>
      <c r="M8">
        <v>3063.6110099999996</v>
      </c>
      <c r="N8">
        <v>22.609620000000003</v>
      </c>
      <c r="O8">
        <v>273.63394</v>
      </c>
      <c r="P8">
        <v>0</v>
      </c>
      <c r="Q8">
        <v>219.48706000000001</v>
      </c>
      <c r="R8">
        <v>699.08564999999987</v>
      </c>
      <c r="S8">
        <v>1466.6113199999998</v>
      </c>
      <c r="T8">
        <v>8.3000000000000004E-2</v>
      </c>
      <c r="U8">
        <v>760.38335999999981</v>
      </c>
      <c r="V8">
        <v>0</v>
      </c>
      <c r="W8">
        <v>2.8546999999999998</v>
      </c>
      <c r="X8">
        <v>0</v>
      </c>
      <c r="Y8">
        <v>49.484729999999999</v>
      </c>
      <c r="Z8">
        <v>0</v>
      </c>
      <c r="AA8">
        <v>0</v>
      </c>
      <c r="AB8">
        <v>0</v>
      </c>
      <c r="AC8">
        <v>73.591560000000001</v>
      </c>
      <c r="AD8">
        <v>3344.0457099999971</v>
      </c>
      <c r="AE8">
        <v>3552.7487299999975</v>
      </c>
      <c r="AF8">
        <v>0</v>
      </c>
      <c r="AG8">
        <v>392.96155000000005</v>
      </c>
      <c r="AH8">
        <v>549.94551999999999</v>
      </c>
      <c r="AI8">
        <v>630.75006000000008</v>
      </c>
      <c r="AJ8">
        <v>0</v>
      </c>
      <c r="AK8">
        <v>25453.44744</v>
      </c>
      <c r="AL8">
        <v>1569.2517999999995</v>
      </c>
      <c r="AM8">
        <v>1688.2239999999995</v>
      </c>
      <c r="AN8">
        <v>0</v>
      </c>
      <c r="AO8">
        <v>0</v>
      </c>
      <c r="AP8">
        <v>0</v>
      </c>
      <c r="AQ8">
        <v>12.52877</v>
      </c>
      <c r="AR8">
        <v>31527.711039999998</v>
      </c>
      <c r="AS8">
        <v>34000.215029999999</v>
      </c>
      <c r="AT8">
        <v>4075.0660900000021</v>
      </c>
      <c r="AU8">
        <v>6289.6073700000015</v>
      </c>
      <c r="AV8">
        <v>56892.905479999994</v>
      </c>
      <c r="AW8">
        <v>106393.85154999999</v>
      </c>
      <c r="AX8">
        <v>0</v>
      </c>
      <c r="AY8">
        <v>0</v>
      </c>
      <c r="AZ8">
        <v>0</v>
      </c>
      <c r="BA8">
        <v>0</v>
      </c>
      <c r="BB8">
        <v>0</v>
      </c>
      <c r="BC8">
        <v>964.96776</v>
      </c>
      <c r="BD8">
        <v>0.38548000000000004</v>
      </c>
      <c r="BE8">
        <v>46.679790000000004</v>
      </c>
      <c r="BF8">
        <v>0</v>
      </c>
      <c r="BG8">
        <v>479.88264000000009</v>
      </c>
      <c r="BH8">
        <v>0</v>
      </c>
      <c r="BI8">
        <v>506.25435999999996</v>
      </c>
      <c r="BJ8">
        <v>0</v>
      </c>
      <c r="BK8">
        <v>964.33597000000009</v>
      </c>
      <c r="BL8">
        <v>0</v>
      </c>
      <c r="BM8">
        <v>0</v>
      </c>
      <c r="BN8">
        <v>2115.3030099999996</v>
      </c>
      <c r="BO8">
        <v>2115.3030099999996</v>
      </c>
      <c r="BP8">
        <v>0</v>
      </c>
      <c r="BQ8">
        <v>0</v>
      </c>
      <c r="BR8">
        <v>0</v>
      </c>
      <c r="BS8">
        <v>0</v>
      </c>
      <c r="BT8">
        <v>0</v>
      </c>
      <c r="BU8">
        <v>0</v>
      </c>
      <c r="BV8">
        <v>0</v>
      </c>
      <c r="BW8">
        <v>0</v>
      </c>
      <c r="BX8">
        <v>1</v>
      </c>
      <c r="BY8">
        <v>1</v>
      </c>
      <c r="BZ8">
        <v>0</v>
      </c>
      <c r="CA8">
        <v>6026.1748499999994</v>
      </c>
      <c r="CB8">
        <v>0</v>
      </c>
      <c r="CC8">
        <v>0</v>
      </c>
      <c r="CD8">
        <v>2515.7589399999993</v>
      </c>
      <c r="CE8">
        <v>2518.5864399999991</v>
      </c>
      <c r="CF8">
        <v>0</v>
      </c>
      <c r="CG8">
        <v>0</v>
      </c>
      <c r="CH8">
        <v>0</v>
      </c>
      <c r="CI8">
        <v>0</v>
      </c>
      <c r="CJ8">
        <v>0</v>
      </c>
      <c r="CK8">
        <v>10.755040000000001</v>
      </c>
      <c r="CL8">
        <v>16.485199999999999</v>
      </c>
      <c r="CM8">
        <v>16.485199999999999</v>
      </c>
      <c r="CN8">
        <v>0</v>
      </c>
      <c r="CO8">
        <v>62.486309999999996</v>
      </c>
      <c r="CP8">
        <v>0</v>
      </c>
      <c r="CQ8">
        <v>18.337490000000003</v>
      </c>
      <c r="CR8">
        <v>1.49681</v>
      </c>
      <c r="CS8">
        <v>36.845129999999997</v>
      </c>
      <c r="CT8">
        <v>0</v>
      </c>
      <c r="CU8">
        <v>930.54674999999952</v>
      </c>
      <c r="CV8">
        <v>0</v>
      </c>
      <c r="CW8">
        <v>914.16862999999989</v>
      </c>
      <c r="CX8">
        <v>0</v>
      </c>
      <c r="CY8">
        <v>890.82078999999999</v>
      </c>
      <c r="CZ8">
        <v>425.11678000000001</v>
      </c>
      <c r="DA8">
        <v>1026.4376</v>
      </c>
      <c r="DB8">
        <v>0</v>
      </c>
      <c r="DC8">
        <v>0</v>
      </c>
      <c r="DD8">
        <v>4223.9693999999981</v>
      </c>
      <c r="DE8">
        <v>4239.3126799999982</v>
      </c>
      <c r="DF8">
        <v>442.25599999999997</v>
      </c>
      <c r="DG8">
        <v>480.10835999999995</v>
      </c>
      <c r="DH8">
        <v>0</v>
      </c>
      <c r="DI8">
        <v>104.44819</v>
      </c>
      <c r="DJ8">
        <v>3031.2500999999997</v>
      </c>
      <c r="DK8">
        <v>3031.2500999999997</v>
      </c>
      <c r="DL8">
        <v>0</v>
      </c>
      <c r="DM8">
        <v>1910.0026499999999</v>
      </c>
      <c r="DN8">
        <v>11504.122539999998</v>
      </c>
      <c r="DO8">
        <v>14442.128089999998</v>
      </c>
      <c r="DP8">
        <v>33479.828509999999</v>
      </c>
      <c r="DQ8">
        <v>38001.589319999999</v>
      </c>
      <c r="DR8">
        <v>442.64147999999994</v>
      </c>
      <c r="DS8">
        <v>1006.6707900000001</v>
      </c>
      <c r="DT8">
        <v>6738.3052799999978</v>
      </c>
      <c r="DU8">
        <v>12904.488909999996</v>
      </c>
      <c r="DV8">
        <v>22.609620000000003</v>
      </c>
      <c r="DW8">
        <v>3734.7717599999996</v>
      </c>
      <c r="DX8">
        <v>0</v>
      </c>
      <c r="DY8">
        <v>0</v>
      </c>
      <c r="DZ8">
        <v>1674.1479499999998</v>
      </c>
      <c r="EA8">
        <v>31362.949929999999</v>
      </c>
      <c r="EB8">
        <v>0</v>
      </c>
      <c r="EC8">
        <v>75.707440000000005</v>
      </c>
      <c r="ED8">
        <v>0</v>
      </c>
      <c r="EE8">
        <v>0</v>
      </c>
      <c r="EF8">
        <v>1261.2550200000001</v>
      </c>
      <c r="EG8">
        <v>1261.2550200000001</v>
      </c>
      <c r="EH8">
        <v>1235.0988500000001</v>
      </c>
      <c r="EI8">
        <v>1235.0988500000001</v>
      </c>
      <c r="EJ8">
        <v>8.4702999999999999</v>
      </c>
      <c r="EK8">
        <v>9.4253</v>
      </c>
      <c r="EN8">
        <v>170679.71643999999</v>
      </c>
      <c r="EO8">
        <v>319182.55465000006</v>
      </c>
    </row>
    <row r="9" spans="1:145" x14ac:dyDescent="0.2">
      <c r="A9" s="15" t="s">
        <v>7</v>
      </c>
      <c r="B9">
        <v>11605.1</v>
      </c>
      <c r="C9">
        <v>11618.800000000001</v>
      </c>
      <c r="D9">
        <v>697.2</v>
      </c>
      <c r="E9">
        <v>728.40000000000009</v>
      </c>
      <c r="F9">
        <v>4062.4</v>
      </c>
      <c r="G9">
        <v>5858.2</v>
      </c>
      <c r="H9">
        <v>2425.8000000000002</v>
      </c>
      <c r="I9">
        <v>2473</v>
      </c>
      <c r="J9">
        <v>3078.3</v>
      </c>
      <c r="K9">
        <v>3078.3</v>
      </c>
      <c r="L9">
        <v>776.6</v>
      </c>
      <c r="M9">
        <v>1964.3000000000002</v>
      </c>
      <c r="N9">
        <v>1071.3</v>
      </c>
      <c r="O9">
        <v>11446.5</v>
      </c>
      <c r="P9">
        <v>0</v>
      </c>
      <c r="Q9">
        <v>0</v>
      </c>
      <c r="R9">
        <v>1877.3</v>
      </c>
      <c r="S9">
        <v>2698.1</v>
      </c>
      <c r="T9">
        <v>37</v>
      </c>
      <c r="U9">
        <v>37</v>
      </c>
      <c r="V9">
        <v>5423.5</v>
      </c>
      <c r="W9">
        <v>9388.2000000000007</v>
      </c>
      <c r="X9">
        <v>16521.8</v>
      </c>
      <c r="Y9">
        <v>19657.2</v>
      </c>
      <c r="Z9">
        <v>16242.7</v>
      </c>
      <c r="AA9">
        <v>16242.7</v>
      </c>
      <c r="AB9">
        <v>0</v>
      </c>
      <c r="AC9">
        <v>0</v>
      </c>
      <c r="AD9">
        <v>4586.8</v>
      </c>
      <c r="AE9">
        <v>4620.3</v>
      </c>
      <c r="AF9">
        <v>0</v>
      </c>
      <c r="AG9">
        <v>0</v>
      </c>
      <c r="AH9">
        <v>1161.9000000000001</v>
      </c>
      <c r="AI9">
        <v>1161.9000000000001</v>
      </c>
      <c r="AJ9">
        <v>38724.9</v>
      </c>
      <c r="AK9">
        <v>120494.20000000001</v>
      </c>
      <c r="AL9">
        <v>6374</v>
      </c>
      <c r="AM9">
        <v>6374</v>
      </c>
      <c r="AN9">
        <v>310.7</v>
      </c>
      <c r="AO9">
        <v>618.70000000000005</v>
      </c>
      <c r="AP9">
        <v>0</v>
      </c>
      <c r="AQ9">
        <v>22514.2</v>
      </c>
      <c r="AR9">
        <v>80981.3</v>
      </c>
      <c r="AS9">
        <v>82248.400000000009</v>
      </c>
      <c r="AT9">
        <v>17953.2</v>
      </c>
      <c r="AU9">
        <v>21200.5</v>
      </c>
      <c r="AV9">
        <v>279028.2</v>
      </c>
      <c r="AW9">
        <v>536238.4</v>
      </c>
      <c r="AX9">
        <v>1406.8</v>
      </c>
      <c r="AY9">
        <v>1432.8</v>
      </c>
      <c r="AZ9">
        <v>0</v>
      </c>
      <c r="BA9">
        <v>0</v>
      </c>
      <c r="BB9">
        <v>0</v>
      </c>
      <c r="BC9">
        <v>27818.3</v>
      </c>
      <c r="BD9">
        <v>783.4</v>
      </c>
      <c r="BE9">
        <v>11661</v>
      </c>
      <c r="BF9">
        <v>1.1000000000000001</v>
      </c>
      <c r="BG9">
        <v>1.1000000000000001</v>
      </c>
      <c r="BH9">
        <v>2891.7</v>
      </c>
      <c r="BI9">
        <v>2893.8999999999996</v>
      </c>
      <c r="BJ9">
        <v>664.9</v>
      </c>
      <c r="BK9">
        <v>16819.100000000002</v>
      </c>
      <c r="BL9">
        <v>175.6</v>
      </c>
      <c r="BM9">
        <v>10169.300000000001</v>
      </c>
      <c r="BN9">
        <v>9533.2000000000007</v>
      </c>
      <c r="BO9">
        <v>9608.9000000000015</v>
      </c>
      <c r="BP9">
        <v>2697.4</v>
      </c>
      <c r="BQ9">
        <v>3377.6000000000004</v>
      </c>
      <c r="BR9">
        <v>283.5</v>
      </c>
      <c r="BS9">
        <v>288.10000000000002</v>
      </c>
      <c r="BT9">
        <v>0</v>
      </c>
      <c r="BU9">
        <v>0</v>
      </c>
      <c r="BV9">
        <v>0</v>
      </c>
      <c r="BW9">
        <v>0</v>
      </c>
      <c r="BX9">
        <v>1</v>
      </c>
      <c r="BY9">
        <v>0.99999999999999978</v>
      </c>
      <c r="BZ9">
        <v>14269.4</v>
      </c>
      <c r="CA9">
        <v>21817.3</v>
      </c>
      <c r="CB9">
        <v>353.9</v>
      </c>
      <c r="CC9">
        <v>600.09999999999991</v>
      </c>
      <c r="CD9">
        <v>6024</v>
      </c>
      <c r="CE9">
        <v>6114.3</v>
      </c>
      <c r="CF9">
        <v>0</v>
      </c>
      <c r="CG9">
        <v>1107.9000000000001</v>
      </c>
      <c r="CH9">
        <v>2240.8000000000002</v>
      </c>
      <c r="CI9">
        <v>2623.9</v>
      </c>
      <c r="CJ9">
        <v>0</v>
      </c>
      <c r="CK9">
        <v>0</v>
      </c>
      <c r="CL9">
        <v>6346.2</v>
      </c>
      <c r="CM9">
        <v>14623.3</v>
      </c>
      <c r="CN9">
        <v>139.9</v>
      </c>
      <c r="CO9">
        <v>139.9</v>
      </c>
      <c r="CP9">
        <v>0</v>
      </c>
      <c r="CQ9">
        <v>1422.1</v>
      </c>
      <c r="CR9">
        <v>1567.1</v>
      </c>
      <c r="CS9">
        <v>1699.5</v>
      </c>
      <c r="CT9">
        <v>1414.9</v>
      </c>
      <c r="CU9">
        <v>9718.7999999999993</v>
      </c>
      <c r="CV9">
        <v>0</v>
      </c>
      <c r="CW9">
        <v>11040.3</v>
      </c>
      <c r="CX9">
        <v>298.39999999999998</v>
      </c>
      <c r="CY9">
        <v>15437.3</v>
      </c>
      <c r="CZ9">
        <v>973.4</v>
      </c>
      <c r="DA9">
        <v>983.3</v>
      </c>
      <c r="DB9">
        <v>0</v>
      </c>
      <c r="DC9">
        <v>2120.8000000000002</v>
      </c>
      <c r="DD9">
        <v>1611</v>
      </c>
      <c r="DE9">
        <v>1651.2</v>
      </c>
      <c r="DF9">
        <v>1869.4</v>
      </c>
      <c r="DG9">
        <v>2197.5</v>
      </c>
      <c r="DH9">
        <v>0</v>
      </c>
      <c r="DI9">
        <v>5.8</v>
      </c>
      <c r="DJ9">
        <v>22119.000000000004</v>
      </c>
      <c r="DK9">
        <v>22244.200000000004</v>
      </c>
      <c r="DL9">
        <v>0</v>
      </c>
      <c r="DM9">
        <v>64915.7</v>
      </c>
      <c r="DN9">
        <v>34938</v>
      </c>
      <c r="DO9">
        <v>38309.1</v>
      </c>
      <c r="DP9">
        <v>123354.9</v>
      </c>
      <c r="DQ9">
        <v>129602.59999999999</v>
      </c>
      <c r="DR9">
        <v>2829.5</v>
      </c>
      <c r="DS9">
        <v>24028.9</v>
      </c>
      <c r="DT9">
        <v>42693.599999999999</v>
      </c>
      <c r="DU9">
        <v>68244.7</v>
      </c>
      <c r="DV9">
        <v>2201.8000000000002</v>
      </c>
      <c r="DW9">
        <v>14016.7</v>
      </c>
      <c r="DX9">
        <v>0</v>
      </c>
      <c r="DY9">
        <v>1107.9000000000001</v>
      </c>
      <c r="DZ9">
        <v>45115.700000000004</v>
      </c>
      <c r="EA9">
        <v>167312.69999999998</v>
      </c>
      <c r="EB9">
        <v>448.1</v>
      </c>
      <c r="EC9">
        <v>494.6</v>
      </c>
      <c r="ED9">
        <v>0</v>
      </c>
      <c r="EE9">
        <v>0</v>
      </c>
      <c r="EF9">
        <v>5722.6</v>
      </c>
      <c r="EG9">
        <v>10524.3</v>
      </c>
      <c r="EH9">
        <v>3347.4</v>
      </c>
      <c r="EI9">
        <v>3370.9</v>
      </c>
      <c r="EJ9">
        <v>52.3</v>
      </c>
      <c r="EK9">
        <v>52.3</v>
      </c>
      <c r="EN9">
        <v>831309.90000000014</v>
      </c>
      <c r="EO9">
        <v>1602260.3000000003</v>
      </c>
    </row>
    <row r="10" spans="1:145" x14ac:dyDescent="0.2">
      <c r="A10" s="15" t="s">
        <v>8</v>
      </c>
      <c r="B10">
        <v>2395.1333948257879</v>
      </c>
      <c r="C10">
        <v>2872.3616548257878</v>
      </c>
      <c r="D10">
        <v>1410.4662734563708</v>
      </c>
      <c r="E10">
        <v>3051.2780334563708</v>
      </c>
      <c r="F10">
        <v>2521.9924754809795</v>
      </c>
      <c r="G10">
        <v>8241.2085654809798</v>
      </c>
      <c r="H10">
        <v>0</v>
      </c>
      <c r="I10">
        <v>1.5</v>
      </c>
      <c r="J10">
        <v>1072.5999999999999</v>
      </c>
      <c r="K10">
        <v>2514.10592</v>
      </c>
      <c r="L10">
        <v>0</v>
      </c>
      <c r="M10">
        <v>3495.64525</v>
      </c>
      <c r="N10">
        <v>485.83560994198649</v>
      </c>
      <c r="O10">
        <v>1853.9239299419864</v>
      </c>
      <c r="P10">
        <v>0</v>
      </c>
      <c r="Q10">
        <v>0</v>
      </c>
      <c r="R10">
        <v>574.47701997319632</v>
      </c>
      <c r="S10">
        <v>594.4540199731963</v>
      </c>
      <c r="T10">
        <v>1032.1761201851236</v>
      </c>
      <c r="U10">
        <v>2015.9368401851236</v>
      </c>
      <c r="V10">
        <v>1861.7568384905924</v>
      </c>
      <c r="W10">
        <v>2290.7459784905923</v>
      </c>
      <c r="X10">
        <v>74.707745422559</v>
      </c>
      <c r="Y10">
        <v>78.698975422559002</v>
      </c>
      <c r="Z10">
        <v>0</v>
      </c>
      <c r="AA10">
        <v>1067.5512800000001</v>
      </c>
      <c r="AB10">
        <v>0</v>
      </c>
      <c r="AC10">
        <v>0</v>
      </c>
      <c r="AD10">
        <v>4379.4817711167916</v>
      </c>
      <c r="AE10">
        <v>4807.4332011167917</v>
      </c>
      <c r="AF10">
        <v>0</v>
      </c>
      <c r="AG10">
        <v>0</v>
      </c>
      <c r="AH10">
        <v>849.44998797023788</v>
      </c>
      <c r="AI10">
        <v>941.99091797023789</v>
      </c>
      <c r="AJ10">
        <v>3200.9574699999998</v>
      </c>
      <c r="AK10">
        <v>28536.177909999999</v>
      </c>
      <c r="AL10">
        <v>1819.0962291934682</v>
      </c>
      <c r="AM10">
        <v>2331.0073391934684</v>
      </c>
      <c r="AN10">
        <v>0</v>
      </c>
      <c r="AO10">
        <v>0</v>
      </c>
      <c r="AP10">
        <v>7.8700000000000003E-3</v>
      </c>
      <c r="AQ10">
        <v>7.8700000000000003E-3</v>
      </c>
      <c r="AR10">
        <v>42417.363152559315</v>
      </c>
      <c r="AS10">
        <v>43938.610692559312</v>
      </c>
      <c r="AT10">
        <v>2254.4131475587305</v>
      </c>
      <c r="AU10">
        <v>6757.1062575587312</v>
      </c>
      <c r="AV10">
        <v>87807.81911000004</v>
      </c>
      <c r="AW10">
        <v>155755.92718000003</v>
      </c>
      <c r="AX10">
        <v>314.08802207832593</v>
      </c>
      <c r="AY10">
        <v>314.08802207832593</v>
      </c>
      <c r="AZ10">
        <v>0</v>
      </c>
      <c r="BA10">
        <v>0</v>
      </c>
      <c r="BB10">
        <v>0</v>
      </c>
      <c r="BC10">
        <v>0</v>
      </c>
      <c r="BD10">
        <v>0</v>
      </c>
      <c r="BE10">
        <v>1355.21632</v>
      </c>
      <c r="BF10">
        <v>0</v>
      </c>
      <c r="BG10">
        <v>0</v>
      </c>
      <c r="BH10">
        <v>0.12762999999999999</v>
      </c>
      <c r="BI10">
        <v>4730.09177</v>
      </c>
      <c r="BJ10">
        <v>0</v>
      </c>
      <c r="BK10">
        <v>0</v>
      </c>
      <c r="BL10">
        <v>0</v>
      </c>
      <c r="BM10">
        <v>13.8299</v>
      </c>
      <c r="BN10">
        <v>1934.2193511200132</v>
      </c>
      <c r="BO10">
        <v>2601.2159011200133</v>
      </c>
      <c r="BP10">
        <v>929.06277</v>
      </c>
      <c r="BQ10">
        <v>1086.2686100000001</v>
      </c>
      <c r="BR10">
        <v>0</v>
      </c>
      <c r="BS10">
        <v>0</v>
      </c>
      <c r="BT10">
        <v>0</v>
      </c>
      <c r="BU10">
        <v>0</v>
      </c>
      <c r="BV10">
        <v>0</v>
      </c>
      <c r="BW10">
        <v>0</v>
      </c>
      <c r="BX10">
        <v>0.99999999999999967</v>
      </c>
      <c r="BY10">
        <v>0.99999999999999989</v>
      </c>
      <c r="BZ10">
        <v>2321.9825700000001</v>
      </c>
      <c r="CA10">
        <v>2919.9761000000003</v>
      </c>
      <c r="CB10">
        <v>0</v>
      </c>
      <c r="CC10">
        <v>0</v>
      </c>
      <c r="CD10">
        <v>782.76133211979675</v>
      </c>
      <c r="CE10">
        <v>782.76133211979675</v>
      </c>
      <c r="CF10">
        <v>0</v>
      </c>
      <c r="CG10">
        <v>0</v>
      </c>
      <c r="CH10">
        <v>1.26</v>
      </c>
      <c r="CI10">
        <v>1.26</v>
      </c>
      <c r="CJ10">
        <v>0</v>
      </c>
      <c r="CK10">
        <v>0</v>
      </c>
      <c r="CL10">
        <v>724.55973742442609</v>
      </c>
      <c r="CM10">
        <v>1141.1777674244261</v>
      </c>
      <c r="CN10">
        <v>2474.4778549699199</v>
      </c>
      <c r="CO10">
        <v>4919.8757349699199</v>
      </c>
      <c r="CP10">
        <v>3057.4202200000004</v>
      </c>
      <c r="CQ10">
        <v>3070.5727700000002</v>
      </c>
      <c r="CR10">
        <v>2008.1026537885903</v>
      </c>
      <c r="CS10">
        <v>2359.2929937885901</v>
      </c>
      <c r="CT10">
        <v>269.61243428723787</v>
      </c>
      <c r="CU10">
        <v>1728.6187142872379</v>
      </c>
      <c r="CV10">
        <v>0</v>
      </c>
      <c r="CW10">
        <v>1940.7972</v>
      </c>
      <c r="CX10">
        <v>11.613917121466304</v>
      </c>
      <c r="CY10">
        <v>481.71185712146632</v>
      </c>
      <c r="CZ10">
        <v>524.69932178296278</v>
      </c>
      <c r="DA10">
        <v>617.72620178296279</v>
      </c>
      <c r="DB10">
        <v>1.345</v>
      </c>
      <c r="DC10">
        <v>1325.2888500000001</v>
      </c>
      <c r="DD10">
        <v>503.50238354734881</v>
      </c>
      <c r="DE10">
        <v>513.10402354734879</v>
      </c>
      <c r="DF10">
        <v>131.5081110219225</v>
      </c>
      <c r="DG10">
        <v>163.16098102192251</v>
      </c>
      <c r="DH10">
        <v>107.84179134976614</v>
      </c>
      <c r="DI10">
        <v>146.37244134976615</v>
      </c>
      <c r="DJ10">
        <v>5739.8190194021718</v>
      </c>
      <c r="DK10">
        <v>8524.855589402172</v>
      </c>
      <c r="DL10">
        <v>3058.7730900000001</v>
      </c>
      <c r="DM10">
        <v>6336.66669</v>
      </c>
      <c r="DN10">
        <v>9235.7524799887869</v>
      </c>
      <c r="DO10">
        <v>14678.308129988787</v>
      </c>
      <c r="DP10">
        <v>48522.734651542713</v>
      </c>
      <c r="DQ10">
        <v>65110.499571542707</v>
      </c>
      <c r="DR10">
        <v>131.5081110219225</v>
      </c>
      <c r="DS10">
        <v>1532.2072010219224</v>
      </c>
      <c r="DT10">
        <v>13093.081435617571</v>
      </c>
      <c r="DU10">
        <v>17576.394225617572</v>
      </c>
      <c r="DV10">
        <v>593.67740129175263</v>
      </c>
      <c r="DW10">
        <v>5495.9416212917531</v>
      </c>
      <c r="DX10">
        <v>0</v>
      </c>
      <c r="DY10">
        <v>0</v>
      </c>
      <c r="DZ10">
        <v>5430.8101511351015</v>
      </c>
      <c r="EA10">
        <v>32900.679621135103</v>
      </c>
      <c r="EB10">
        <v>0</v>
      </c>
      <c r="EC10">
        <v>0</v>
      </c>
      <c r="ED10">
        <v>0</v>
      </c>
      <c r="EE10">
        <v>0</v>
      </c>
      <c r="EF10">
        <v>3347.36922</v>
      </c>
      <c r="EG10">
        <v>5513.2866700000004</v>
      </c>
      <c r="EH10">
        <v>2010.4600102882869</v>
      </c>
      <c r="EI10">
        <v>2523.462670288287</v>
      </c>
      <c r="EJ10">
        <v>1.8896729248131725</v>
      </c>
      <c r="EK10">
        <v>117.02571292481316</v>
      </c>
      <c r="EN10">
        <v>261422.79456000004</v>
      </c>
      <c r="EO10">
        <v>463668.40701000026</v>
      </c>
    </row>
    <row r="11" spans="1:145" x14ac:dyDescent="0.2">
      <c r="A11" s="15" t="s">
        <v>9</v>
      </c>
      <c r="B11">
        <v>13747</v>
      </c>
      <c r="C11">
        <v>14381.1</v>
      </c>
      <c r="D11">
        <v>662.5</v>
      </c>
      <c r="E11">
        <v>2448.1</v>
      </c>
      <c r="F11">
        <v>7046.1</v>
      </c>
      <c r="G11">
        <v>7191.7000000000007</v>
      </c>
      <c r="H11">
        <v>454.9</v>
      </c>
      <c r="I11">
        <v>457.29999999999995</v>
      </c>
      <c r="J11">
        <v>3541.3</v>
      </c>
      <c r="K11">
        <v>3541.3</v>
      </c>
      <c r="L11">
        <v>729.1</v>
      </c>
      <c r="M11">
        <v>5508.2000000000007</v>
      </c>
      <c r="N11">
        <v>429.5</v>
      </c>
      <c r="O11">
        <v>995.4</v>
      </c>
      <c r="P11">
        <v>0</v>
      </c>
      <c r="Q11">
        <v>0</v>
      </c>
      <c r="R11">
        <v>2718.6</v>
      </c>
      <c r="S11">
        <v>3272.8</v>
      </c>
      <c r="T11">
        <v>1974.4</v>
      </c>
      <c r="U11">
        <v>2722.4</v>
      </c>
      <c r="V11">
        <v>0</v>
      </c>
      <c r="W11">
        <v>3123.1</v>
      </c>
      <c r="X11">
        <v>9255.7999999999993</v>
      </c>
      <c r="Y11">
        <v>10060.299999999999</v>
      </c>
      <c r="Z11">
        <v>6702.6</v>
      </c>
      <c r="AA11">
        <v>6702.6</v>
      </c>
      <c r="AB11">
        <v>0</v>
      </c>
      <c r="AC11">
        <v>0</v>
      </c>
      <c r="AD11">
        <v>7550</v>
      </c>
      <c r="AE11">
        <v>8765</v>
      </c>
      <c r="AF11">
        <v>0</v>
      </c>
      <c r="AG11">
        <v>0</v>
      </c>
      <c r="AH11">
        <v>1214.5</v>
      </c>
      <c r="AI11">
        <v>1306.5999999999999</v>
      </c>
      <c r="AJ11">
        <v>27813.200000000001</v>
      </c>
      <c r="AK11">
        <v>74363.8</v>
      </c>
      <c r="AL11">
        <v>2304.1999999999998</v>
      </c>
      <c r="AM11">
        <v>7084.8</v>
      </c>
      <c r="AN11">
        <v>268.89999999999998</v>
      </c>
      <c r="AO11">
        <v>-323.5</v>
      </c>
      <c r="AP11">
        <v>0</v>
      </c>
      <c r="AQ11">
        <v>8007.1</v>
      </c>
      <c r="AR11">
        <v>93853.1</v>
      </c>
      <c r="AS11">
        <v>98993.1</v>
      </c>
      <c r="AT11">
        <v>14997.3</v>
      </c>
      <c r="AU11">
        <v>16804.7</v>
      </c>
      <c r="AV11">
        <v>249620.99999999997</v>
      </c>
      <c r="AW11">
        <v>425214.3</v>
      </c>
      <c r="AX11">
        <v>4504.5</v>
      </c>
      <c r="AY11">
        <v>9927.4</v>
      </c>
      <c r="AZ11">
        <v>0</v>
      </c>
      <c r="BA11">
        <v>0</v>
      </c>
      <c r="BB11">
        <v>0</v>
      </c>
      <c r="BC11">
        <v>5567.3000000000011</v>
      </c>
      <c r="BD11">
        <v>378.6</v>
      </c>
      <c r="BE11">
        <v>10834.9</v>
      </c>
      <c r="BF11">
        <v>224.7</v>
      </c>
      <c r="BG11">
        <v>2874.5</v>
      </c>
      <c r="BH11">
        <v>2800.6</v>
      </c>
      <c r="BI11">
        <v>3310.2999999999997</v>
      </c>
      <c r="BJ11">
        <v>233.6</v>
      </c>
      <c r="BK11">
        <v>14447.9</v>
      </c>
      <c r="BL11">
        <v>0</v>
      </c>
      <c r="BM11">
        <v>0</v>
      </c>
      <c r="BN11">
        <v>7944.2</v>
      </c>
      <c r="BO11">
        <v>8090.5999999999995</v>
      </c>
      <c r="BP11">
        <v>2263.4</v>
      </c>
      <c r="BQ11">
        <v>2937.7</v>
      </c>
      <c r="BR11">
        <v>250.8</v>
      </c>
      <c r="BS11">
        <v>296.60000000000002</v>
      </c>
      <c r="BT11">
        <v>0</v>
      </c>
      <c r="BU11">
        <v>279.7</v>
      </c>
      <c r="BV11">
        <v>0</v>
      </c>
      <c r="BW11">
        <v>40</v>
      </c>
      <c r="BX11">
        <v>1.0000000000000002</v>
      </c>
      <c r="BY11">
        <v>1</v>
      </c>
      <c r="BZ11">
        <v>3320.4</v>
      </c>
      <c r="CA11">
        <v>5941.4</v>
      </c>
      <c r="CB11">
        <v>524.4</v>
      </c>
      <c r="CC11">
        <v>15243.699999999999</v>
      </c>
      <c r="CD11">
        <v>8164.2</v>
      </c>
      <c r="CE11">
        <v>8690.2000000000007</v>
      </c>
      <c r="CF11">
        <v>374.8</v>
      </c>
      <c r="CG11">
        <v>715.3</v>
      </c>
      <c r="CH11">
        <v>182.9</v>
      </c>
      <c r="CI11">
        <v>652.70000000000005</v>
      </c>
      <c r="CJ11">
        <v>1737.5</v>
      </c>
      <c r="CK11">
        <v>1737.5</v>
      </c>
      <c r="CL11">
        <v>3440.7</v>
      </c>
      <c r="CM11">
        <v>10080.700000000001</v>
      </c>
      <c r="CN11">
        <v>0</v>
      </c>
      <c r="CO11">
        <v>0</v>
      </c>
      <c r="CP11">
        <v>0</v>
      </c>
      <c r="CQ11">
        <v>1914.5</v>
      </c>
      <c r="CR11">
        <v>417.9</v>
      </c>
      <c r="CS11">
        <v>844.4</v>
      </c>
      <c r="CT11">
        <v>1241.8</v>
      </c>
      <c r="CU11">
        <v>5281.3</v>
      </c>
      <c r="CV11">
        <v>0</v>
      </c>
      <c r="CW11">
        <v>2216.6</v>
      </c>
      <c r="CX11">
        <v>0</v>
      </c>
      <c r="CY11">
        <v>2566.6999999999998</v>
      </c>
      <c r="CZ11">
        <v>1051.8</v>
      </c>
      <c r="DA11">
        <v>4277.7</v>
      </c>
      <c r="DB11">
        <v>0</v>
      </c>
      <c r="DC11">
        <v>2683.3</v>
      </c>
      <c r="DD11">
        <v>850.8</v>
      </c>
      <c r="DE11">
        <v>850.8</v>
      </c>
      <c r="DF11">
        <v>3362.6</v>
      </c>
      <c r="DG11">
        <v>4351.2</v>
      </c>
      <c r="DH11">
        <v>288.89999999999998</v>
      </c>
      <c r="DI11">
        <v>2278.9</v>
      </c>
      <c r="DJ11">
        <v>22604.5</v>
      </c>
      <c r="DK11">
        <v>25216.400000000001</v>
      </c>
      <c r="DL11">
        <v>0</v>
      </c>
      <c r="DM11">
        <v>20668.5</v>
      </c>
      <c r="DN11">
        <v>33015.699999999997</v>
      </c>
      <c r="DO11">
        <v>41344.699999999997</v>
      </c>
      <c r="DP11">
        <v>122087.50000000001</v>
      </c>
      <c r="DQ11">
        <v>129437.70000000001</v>
      </c>
      <c r="DR11">
        <v>3965.8999999999996</v>
      </c>
      <c r="DS11">
        <v>18060.599999999999</v>
      </c>
      <c r="DT11">
        <v>25522.500000000007</v>
      </c>
      <c r="DU11">
        <v>53749.100000000006</v>
      </c>
      <c r="DV11">
        <v>1971.9</v>
      </c>
      <c r="DW11">
        <v>24026.200000000004</v>
      </c>
      <c r="DX11">
        <v>374.8</v>
      </c>
      <c r="DY11">
        <v>715.3</v>
      </c>
      <c r="DZ11">
        <v>34273.5</v>
      </c>
      <c r="EA11">
        <v>105516.79999999999</v>
      </c>
      <c r="EB11">
        <v>2350.4</v>
      </c>
      <c r="EC11">
        <v>2350.4</v>
      </c>
      <c r="ED11">
        <v>0</v>
      </c>
      <c r="EE11">
        <v>0</v>
      </c>
      <c r="EF11">
        <v>6396.4</v>
      </c>
      <c r="EG11">
        <v>14210.7</v>
      </c>
      <c r="EH11">
        <v>2052.1</v>
      </c>
      <c r="EI11">
        <v>4313.5</v>
      </c>
      <c r="EJ11">
        <v>0</v>
      </c>
      <c r="EK11">
        <v>0</v>
      </c>
      <c r="EN11">
        <v>743059.30000000016</v>
      </c>
      <c r="EO11">
        <v>1269164.8999999999</v>
      </c>
    </row>
    <row r="12" spans="1:145" x14ac:dyDescent="0.2">
      <c r="A12" s="15" t="s">
        <v>10</v>
      </c>
      <c r="B12">
        <v>5797.5</v>
      </c>
      <c r="C12">
        <v>5946.4</v>
      </c>
      <c r="D12">
        <v>1013</v>
      </c>
      <c r="E12">
        <v>4691.6000000000004</v>
      </c>
      <c r="F12">
        <v>4173.7</v>
      </c>
      <c r="G12">
        <v>5180.5999999999995</v>
      </c>
      <c r="H12">
        <v>120.9</v>
      </c>
      <c r="I12">
        <v>120.9</v>
      </c>
      <c r="J12">
        <v>4939.6000000000004</v>
      </c>
      <c r="K12">
        <v>5845.4000000000005</v>
      </c>
      <c r="L12">
        <v>0</v>
      </c>
      <c r="M12">
        <v>1346.9</v>
      </c>
      <c r="N12">
        <v>3639</v>
      </c>
      <c r="O12">
        <v>24128.7</v>
      </c>
      <c r="P12">
        <v>0</v>
      </c>
      <c r="Q12">
        <v>0</v>
      </c>
      <c r="R12">
        <v>1193.9000000000001</v>
      </c>
      <c r="S12">
        <v>1345</v>
      </c>
      <c r="T12">
        <v>15402</v>
      </c>
      <c r="U12">
        <v>16997.3</v>
      </c>
      <c r="V12">
        <v>1466.8</v>
      </c>
      <c r="W12">
        <v>4776.3</v>
      </c>
      <c r="X12">
        <v>9011.1</v>
      </c>
      <c r="Y12">
        <v>9178.6</v>
      </c>
      <c r="Z12">
        <v>10331.200000000001</v>
      </c>
      <c r="AA12">
        <v>11857.400000000001</v>
      </c>
      <c r="AB12">
        <v>0</v>
      </c>
      <c r="AC12">
        <v>0</v>
      </c>
      <c r="AD12">
        <v>1239.6000000000004</v>
      </c>
      <c r="AE12">
        <v>1381.4000000000003</v>
      </c>
      <c r="AF12">
        <v>36.299999999999997</v>
      </c>
      <c r="AG12">
        <v>39.4</v>
      </c>
      <c r="AH12">
        <v>1157.9000000000001</v>
      </c>
      <c r="AI12">
        <v>1782.2</v>
      </c>
      <c r="AJ12">
        <v>16466.7</v>
      </c>
      <c r="AK12">
        <v>60855.7</v>
      </c>
      <c r="AL12">
        <v>647.09999999999991</v>
      </c>
      <c r="AM12">
        <v>2236.8999999999996</v>
      </c>
      <c r="AN12">
        <v>226.1</v>
      </c>
      <c r="AO12">
        <v>266.89999999999998</v>
      </c>
      <c r="AP12">
        <v>0</v>
      </c>
      <c r="AQ12">
        <v>851.1</v>
      </c>
      <c r="AR12">
        <v>45450.2</v>
      </c>
      <c r="AS12">
        <v>46767.1</v>
      </c>
      <c r="AT12">
        <v>1629.5</v>
      </c>
      <c r="AU12">
        <v>2459.1</v>
      </c>
      <c r="AV12">
        <v>172678.80000000002</v>
      </c>
      <c r="AW12">
        <v>350225.3</v>
      </c>
      <c r="AX12">
        <v>1321.5</v>
      </c>
      <c r="AY12">
        <v>2031.4</v>
      </c>
      <c r="AZ12">
        <v>0</v>
      </c>
      <c r="BA12">
        <v>0.6</v>
      </c>
      <c r="BB12">
        <v>0</v>
      </c>
      <c r="BC12">
        <v>14087.699999999999</v>
      </c>
      <c r="BD12">
        <v>2476.5</v>
      </c>
      <c r="BE12">
        <v>9705.6</v>
      </c>
      <c r="BF12">
        <v>1860.1</v>
      </c>
      <c r="BG12">
        <v>7577.9</v>
      </c>
      <c r="BH12">
        <v>1308</v>
      </c>
      <c r="BI12">
        <v>1576.9</v>
      </c>
      <c r="BJ12">
        <v>956</v>
      </c>
      <c r="BK12">
        <v>18412</v>
      </c>
      <c r="BL12">
        <v>0</v>
      </c>
      <c r="BM12">
        <v>0</v>
      </c>
      <c r="BN12">
        <v>6748.4</v>
      </c>
      <c r="BO12">
        <v>7019.2</v>
      </c>
      <c r="BP12">
        <v>1793</v>
      </c>
      <c r="BQ12">
        <v>2024.3</v>
      </c>
      <c r="BR12">
        <v>114.8</v>
      </c>
      <c r="BS12">
        <v>125.39999999999999</v>
      </c>
      <c r="BT12">
        <v>0</v>
      </c>
      <c r="BU12">
        <v>0</v>
      </c>
      <c r="BV12">
        <v>1419.2</v>
      </c>
      <c r="BW12">
        <v>1554.5</v>
      </c>
      <c r="BX12">
        <v>0.99999999999999989</v>
      </c>
      <c r="BY12">
        <v>1.0000000000000002</v>
      </c>
      <c r="BZ12">
        <v>1331.7</v>
      </c>
      <c r="CA12">
        <v>3749</v>
      </c>
      <c r="CB12">
        <v>743.8</v>
      </c>
      <c r="CC12">
        <v>4308.8999999999996</v>
      </c>
      <c r="CD12">
        <v>4125.2</v>
      </c>
      <c r="CE12">
        <v>6208.7999999999993</v>
      </c>
      <c r="CF12">
        <v>0</v>
      </c>
      <c r="CG12">
        <v>291</v>
      </c>
      <c r="CH12">
        <v>1153</v>
      </c>
      <c r="CI12">
        <v>1438.6</v>
      </c>
      <c r="CJ12">
        <v>144.80000000000001</v>
      </c>
      <c r="CK12">
        <v>144.80000000000001</v>
      </c>
      <c r="CL12">
        <v>2541.5</v>
      </c>
      <c r="CM12">
        <v>12992.1</v>
      </c>
      <c r="CN12">
        <v>0</v>
      </c>
      <c r="CO12">
        <v>0</v>
      </c>
      <c r="CP12">
        <v>0</v>
      </c>
      <c r="CQ12">
        <v>169.5</v>
      </c>
      <c r="CR12">
        <v>2044.1</v>
      </c>
      <c r="CS12">
        <v>3144.8</v>
      </c>
      <c r="CT12">
        <v>557.5</v>
      </c>
      <c r="CU12">
        <v>2019.7</v>
      </c>
      <c r="CV12">
        <v>0</v>
      </c>
      <c r="CW12">
        <v>2607.6999999999998</v>
      </c>
      <c r="CX12">
        <v>70</v>
      </c>
      <c r="CY12">
        <v>8275.2000000000007</v>
      </c>
      <c r="CZ12">
        <v>1412.5</v>
      </c>
      <c r="DA12">
        <v>3017.5</v>
      </c>
      <c r="DB12">
        <v>0</v>
      </c>
      <c r="DC12">
        <v>1790.2</v>
      </c>
      <c r="DD12">
        <v>728.2</v>
      </c>
      <c r="DE12">
        <v>1511.4</v>
      </c>
      <c r="DF12">
        <v>2127.1999999999998</v>
      </c>
      <c r="DG12">
        <v>2930.5</v>
      </c>
      <c r="DH12">
        <v>0</v>
      </c>
      <c r="DI12">
        <v>208.5</v>
      </c>
      <c r="DJ12">
        <v>13673.699999999999</v>
      </c>
      <c r="DK12">
        <v>17783.199999999997</v>
      </c>
      <c r="DL12">
        <v>0</v>
      </c>
      <c r="DM12">
        <v>19506.2</v>
      </c>
      <c r="DN12">
        <v>7677.7000000000007</v>
      </c>
      <c r="DO12">
        <v>12325.6</v>
      </c>
      <c r="DP12">
        <v>86989.4</v>
      </c>
      <c r="DQ12">
        <v>97338.599999999991</v>
      </c>
      <c r="DR12">
        <v>6463.8</v>
      </c>
      <c r="DS12">
        <v>20214</v>
      </c>
      <c r="DT12">
        <v>24944.3</v>
      </c>
      <c r="DU12">
        <v>49196.7</v>
      </c>
      <c r="DV12">
        <v>4382.8</v>
      </c>
      <c r="DW12">
        <v>29993</v>
      </c>
      <c r="DX12">
        <v>0</v>
      </c>
      <c r="DY12">
        <v>291</v>
      </c>
      <c r="DZ12">
        <v>21814.5</v>
      </c>
      <c r="EA12">
        <v>95707.3</v>
      </c>
      <c r="EB12">
        <v>292.7</v>
      </c>
      <c r="EC12">
        <v>292.7</v>
      </c>
      <c r="ED12">
        <v>0</v>
      </c>
      <c r="EE12">
        <v>0</v>
      </c>
      <c r="EF12">
        <v>6600.1</v>
      </c>
      <c r="EG12">
        <v>11533.400000000001</v>
      </c>
      <c r="EH12">
        <v>5674.6</v>
      </c>
      <c r="EI12">
        <v>5760.8</v>
      </c>
      <c r="EJ12">
        <v>1192.3</v>
      </c>
      <c r="EK12">
        <v>5659.8</v>
      </c>
      <c r="EN12">
        <v>511304.8</v>
      </c>
      <c r="EO12">
        <v>1042807.1999999998</v>
      </c>
    </row>
    <row r="13" spans="1:145" x14ac:dyDescent="0.2">
      <c r="A13" s="15" t="s">
        <v>11</v>
      </c>
      <c r="B13">
        <v>8646</v>
      </c>
      <c r="C13">
        <v>9464.4</v>
      </c>
      <c r="D13">
        <v>1087</v>
      </c>
      <c r="E13">
        <v>4355.3999999999996</v>
      </c>
      <c r="F13">
        <v>5622.1</v>
      </c>
      <c r="G13">
        <v>6644</v>
      </c>
      <c r="H13">
        <v>0</v>
      </c>
      <c r="I13">
        <v>0</v>
      </c>
      <c r="J13">
        <v>1724.1</v>
      </c>
      <c r="K13">
        <v>2141.6999999999998</v>
      </c>
      <c r="L13">
        <v>703.7</v>
      </c>
      <c r="M13">
        <v>2645.3</v>
      </c>
      <c r="N13">
        <v>1147.9000000000001</v>
      </c>
      <c r="O13">
        <v>18865.7</v>
      </c>
      <c r="P13">
        <v>0</v>
      </c>
      <c r="Q13">
        <v>0</v>
      </c>
      <c r="R13">
        <v>30.2</v>
      </c>
      <c r="S13">
        <v>537.80000000000007</v>
      </c>
      <c r="T13">
        <v>9910</v>
      </c>
      <c r="U13">
        <v>13789.4</v>
      </c>
      <c r="V13">
        <v>2432.1</v>
      </c>
      <c r="W13">
        <v>2740.7999999999997</v>
      </c>
      <c r="X13">
        <v>4393.5</v>
      </c>
      <c r="Y13">
        <v>4493.8999999999996</v>
      </c>
      <c r="Z13">
        <v>10725.3</v>
      </c>
      <c r="AA13">
        <v>11053.699999999999</v>
      </c>
      <c r="AB13">
        <v>0</v>
      </c>
      <c r="AC13">
        <v>0</v>
      </c>
      <c r="AD13">
        <v>5355</v>
      </c>
      <c r="AE13">
        <v>16058.9</v>
      </c>
      <c r="AF13">
        <v>0</v>
      </c>
      <c r="AG13">
        <v>0</v>
      </c>
      <c r="AH13">
        <v>1537.8</v>
      </c>
      <c r="AI13">
        <v>15576.9</v>
      </c>
      <c r="AJ13">
        <v>21606</v>
      </c>
      <c r="AK13">
        <v>55264.800000000003</v>
      </c>
      <c r="AL13">
        <v>2043</v>
      </c>
      <c r="AM13">
        <v>3146.1</v>
      </c>
      <c r="AN13">
        <v>311</v>
      </c>
      <c r="AO13">
        <v>311</v>
      </c>
      <c r="AP13">
        <v>0</v>
      </c>
      <c r="AQ13">
        <v>7713</v>
      </c>
      <c r="AR13">
        <v>50628.5</v>
      </c>
      <c r="AS13">
        <v>53717.9</v>
      </c>
      <c r="AT13">
        <v>4340.7</v>
      </c>
      <c r="AU13">
        <v>5709.5</v>
      </c>
      <c r="AV13">
        <v>170709.10000000003</v>
      </c>
      <c r="AW13">
        <v>338059.6</v>
      </c>
      <c r="AX13">
        <v>1016</v>
      </c>
      <c r="AY13">
        <v>1016</v>
      </c>
      <c r="AZ13">
        <v>1116.5</v>
      </c>
      <c r="BA13">
        <v>3844.4</v>
      </c>
      <c r="BB13">
        <v>0</v>
      </c>
      <c r="BC13">
        <v>23355.5</v>
      </c>
      <c r="BD13">
        <v>182</v>
      </c>
      <c r="BE13">
        <v>3020.7</v>
      </c>
      <c r="BF13">
        <v>1656.7</v>
      </c>
      <c r="BG13">
        <v>3239.4</v>
      </c>
      <c r="BH13">
        <v>2912.3</v>
      </c>
      <c r="BI13">
        <v>4087.8</v>
      </c>
      <c r="BJ13">
        <v>633.1</v>
      </c>
      <c r="BK13">
        <v>7268.7000000000007</v>
      </c>
      <c r="BL13">
        <v>0</v>
      </c>
      <c r="BM13">
        <v>0</v>
      </c>
      <c r="BN13">
        <v>3776.8</v>
      </c>
      <c r="BO13">
        <v>3798.9</v>
      </c>
      <c r="BP13">
        <v>1925.6</v>
      </c>
      <c r="BQ13">
        <v>2056.7999999999997</v>
      </c>
      <c r="BR13">
        <v>0</v>
      </c>
      <c r="BS13">
        <v>0</v>
      </c>
      <c r="BT13">
        <v>0</v>
      </c>
      <c r="BU13">
        <v>0</v>
      </c>
      <c r="BV13">
        <v>335.8</v>
      </c>
      <c r="BW13">
        <v>379.3</v>
      </c>
      <c r="BX13">
        <v>0.99999999999999989</v>
      </c>
      <c r="BY13">
        <v>1</v>
      </c>
      <c r="BZ13">
        <v>399.4</v>
      </c>
      <c r="CA13">
        <v>2163.1999999999998</v>
      </c>
      <c r="CB13">
        <v>0</v>
      </c>
      <c r="CC13">
        <v>271.10000000000002</v>
      </c>
      <c r="CD13">
        <v>3337.4</v>
      </c>
      <c r="CE13">
        <v>3662</v>
      </c>
      <c r="CF13">
        <v>0</v>
      </c>
      <c r="CG13">
        <v>506.3</v>
      </c>
      <c r="CH13">
        <v>0</v>
      </c>
      <c r="CI13">
        <v>16.5</v>
      </c>
      <c r="CJ13">
        <v>0</v>
      </c>
      <c r="CK13">
        <v>0</v>
      </c>
      <c r="CL13">
        <v>5063.3999999999996</v>
      </c>
      <c r="CM13">
        <v>7924.0999999999995</v>
      </c>
      <c r="CN13">
        <v>773.2</v>
      </c>
      <c r="CO13">
        <v>798.2</v>
      </c>
      <c r="CP13">
        <v>0</v>
      </c>
      <c r="CQ13">
        <v>4139</v>
      </c>
      <c r="CR13">
        <v>3963.9</v>
      </c>
      <c r="CS13">
        <v>4052.9</v>
      </c>
      <c r="CT13">
        <v>115.4</v>
      </c>
      <c r="CU13">
        <v>1929.4</v>
      </c>
      <c r="CV13">
        <v>0</v>
      </c>
      <c r="CW13">
        <v>4144.6000000000004</v>
      </c>
      <c r="CX13">
        <v>0</v>
      </c>
      <c r="CY13">
        <v>1403</v>
      </c>
      <c r="CZ13">
        <v>1928.5</v>
      </c>
      <c r="DA13">
        <v>2455.4</v>
      </c>
      <c r="DB13">
        <v>0</v>
      </c>
      <c r="DC13">
        <v>4529.3999999999996</v>
      </c>
      <c r="DD13">
        <v>968.9</v>
      </c>
      <c r="DE13">
        <v>968.9</v>
      </c>
      <c r="DF13">
        <v>1285.5999999999999</v>
      </c>
      <c r="DG13">
        <v>3001.6</v>
      </c>
      <c r="DH13">
        <v>967.3</v>
      </c>
      <c r="DI13">
        <v>1735.8</v>
      </c>
      <c r="DJ13">
        <v>14626.3</v>
      </c>
      <c r="DK13">
        <v>21463.1</v>
      </c>
      <c r="DL13">
        <v>0</v>
      </c>
      <c r="DM13">
        <v>43881.5</v>
      </c>
      <c r="DN13">
        <v>15076.1</v>
      </c>
      <c r="DO13">
        <v>28576.5</v>
      </c>
      <c r="DP13">
        <v>84964.900000000009</v>
      </c>
      <c r="DQ13">
        <v>94584.900000000009</v>
      </c>
      <c r="DR13">
        <v>3124.3</v>
      </c>
      <c r="DS13">
        <v>9261.7000000000007</v>
      </c>
      <c r="DT13">
        <v>20597.899999999998</v>
      </c>
      <c r="DU13">
        <v>27633.199999999997</v>
      </c>
      <c r="DV13">
        <v>2818.9</v>
      </c>
      <c r="DW13">
        <v>23517.9</v>
      </c>
      <c r="DX13">
        <v>0</v>
      </c>
      <c r="DY13">
        <v>506.3</v>
      </c>
      <c r="DZ13">
        <v>25851</v>
      </c>
      <c r="EA13">
        <v>84436</v>
      </c>
      <c r="EB13">
        <v>335.1</v>
      </c>
      <c r="EC13">
        <v>335.1</v>
      </c>
      <c r="ED13">
        <v>0</v>
      </c>
      <c r="EE13">
        <v>0</v>
      </c>
      <c r="EF13">
        <v>4826.6000000000004</v>
      </c>
      <c r="EG13">
        <v>6779.7000000000007</v>
      </c>
      <c r="EH13">
        <v>945.7</v>
      </c>
      <c r="EI13">
        <v>945.7</v>
      </c>
      <c r="EJ13">
        <v>0</v>
      </c>
      <c r="EK13">
        <v>0</v>
      </c>
      <c r="EN13">
        <v>508478.60000000009</v>
      </c>
      <c r="EO13">
        <v>1009981.3</v>
      </c>
    </row>
    <row r="14" spans="1:145" x14ac:dyDescent="0.2">
      <c r="A14" s="15" t="s">
        <v>92</v>
      </c>
      <c r="B14">
        <v>331.3</v>
      </c>
      <c r="C14">
        <v>331.3</v>
      </c>
      <c r="D14">
        <v>2567.8000000000002</v>
      </c>
      <c r="E14">
        <v>5302.3</v>
      </c>
      <c r="F14">
        <v>243.6</v>
      </c>
      <c r="G14">
        <v>243.6</v>
      </c>
      <c r="H14">
        <v>487.7</v>
      </c>
      <c r="I14">
        <v>487.7</v>
      </c>
      <c r="J14">
        <v>591.4</v>
      </c>
      <c r="K14">
        <v>2175.1999999999998</v>
      </c>
      <c r="L14">
        <v>40.1</v>
      </c>
      <c r="M14">
        <v>4156.9000000000005</v>
      </c>
      <c r="N14">
        <v>1551.8</v>
      </c>
      <c r="O14">
        <v>20034.5</v>
      </c>
      <c r="P14">
        <v>0</v>
      </c>
      <c r="Q14">
        <v>0</v>
      </c>
      <c r="R14">
        <v>204.5</v>
      </c>
      <c r="S14">
        <v>204.5</v>
      </c>
      <c r="T14">
        <v>4648.3999999999996</v>
      </c>
      <c r="U14">
        <v>15326.1</v>
      </c>
      <c r="V14">
        <v>297.10000000000002</v>
      </c>
      <c r="W14">
        <v>555.70000000000005</v>
      </c>
      <c r="X14">
        <v>4858.1000000000004</v>
      </c>
      <c r="Y14">
        <v>8543.5</v>
      </c>
      <c r="Z14">
        <v>4429.1000000000004</v>
      </c>
      <c r="AA14">
        <v>5816.1</v>
      </c>
      <c r="AB14">
        <v>0</v>
      </c>
      <c r="AC14">
        <v>0</v>
      </c>
      <c r="AD14">
        <v>349.9</v>
      </c>
      <c r="AE14">
        <v>462.59999999999997</v>
      </c>
      <c r="AF14">
        <v>0</v>
      </c>
      <c r="AG14">
        <v>0</v>
      </c>
      <c r="AH14">
        <v>154</v>
      </c>
      <c r="AI14">
        <v>154</v>
      </c>
      <c r="AJ14">
        <v>695.5</v>
      </c>
      <c r="AK14">
        <v>1141.7</v>
      </c>
      <c r="AL14">
        <v>1807.1</v>
      </c>
      <c r="AM14">
        <v>1843</v>
      </c>
      <c r="AN14">
        <v>0</v>
      </c>
      <c r="AO14">
        <v>0</v>
      </c>
      <c r="AP14">
        <v>0</v>
      </c>
      <c r="AQ14">
        <v>0</v>
      </c>
      <c r="AR14">
        <v>10326.6</v>
      </c>
      <c r="AS14">
        <v>36464</v>
      </c>
      <c r="AT14">
        <v>2768.8</v>
      </c>
      <c r="AU14">
        <v>2813.1000000000004</v>
      </c>
      <c r="AV14">
        <v>54090.3</v>
      </c>
      <c r="AW14">
        <v>244931.6</v>
      </c>
      <c r="AX14">
        <v>281.7</v>
      </c>
      <c r="AY14">
        <v>338.3</v>
      </c>
      <c r="AZ14">
        <v>2104.1</v>
      </c>
      <c r="BA14">
        <v>94963.7</v>
      </c>
      <c r="BB14">
        <v>0</v>
      </c>
      <c r="BC14">
        <v>0</v>
      </c>
      <c r="BD14">
        <v>555.6</v>
      </c>
      <c r="BE14">
        <v>6380.2000000000007</v>
      </c>
      <c r="BF14">
        <v>1315.7</v>
      </c>
      <c r="BG14">
        <v>1916.6</v>
      </c>
      <c r="BH14">
        <v>654.1</v>
      </c>
      <c r="BI14">
        <v>654.1</v>
      </c>
      <c r="BJ14">
        <v>0</v>
      </c>
      <c r="BK14">
        <v>0</v>
      </c>
      <c r="BL14">
        <v>0</v>
      </c>
      <c r="BM14">
        <v>0</v>
      </c>
      <c r="BN14">
        <v>1895</v>
      </c>
      <c r="BO14">
        <v>1898.7</v>
      </c>
      <c r="BP14">
        <v>617.4</v>
      </c>
      <c r="BQ14">
        <v>2451.6</v>
      </c>
      <c r="BR14">
        <v>0</v>
      </c>
      <c r="BS14">
        <v>0</v>
      </c>
      <c r="BT14">
        <v>0</v>
      </c>
      <c r="BU14">
        <v>0</v>
      </c>
      <c r="BV14">
        <v>0</v>
      </c>
      <c r="BW14">
        <v>0</v>
      </c>
      <c r="BX14">
        <v>0.99999999999999989</v>
      </c>
      <c r="BY14">
        <v>0.99999999999999989</v>
      </c>
      <c r="BZ14">
        <v>88.9</v>
      </c>
      <c r="CA14">
        <v>110.80000000000001</v>
      </c>
      <c r="CB14">
        <v>0</v>
      </c>
      <c r="CC14">
        <v>0</v>
      </c>
      <c r="CD14">
        <v>1142.8</v>
      </c>
      <c r="CE14">
        <v>1327.8999999999999</v>
      </c>
      <c r="CF14">
        <v>0</v>
      </c>
      <c r="CG14">
        <v>0</v>
      </c>
      <c r="CH14">
        <v>569.5</v>
      </c>
      <c r="CI14">
        <v>13779.9</v>
      </c>
      <c r="CJ14">
        <v>28.6</v>
      </c>
      <c r="CK14">
        <v>223.79999999999998</v>
      </c>
      <c r="CL14">
        <v>2059</v>
      </c>
      <c r="CM14">
        <v>2931.6</v>
      </c>
      <c r="CN14">
        <v>732.7</v>
      </c>
      <c r="CO14">
        <v>738.40000000000009</v>
      </c>
      <c r="CP14">
        <v>0</v>
      </c>
      <c r="CQ14">
        <v>0</v>
      </c>
      <c r="CR14">
        <v>762.1</v>
      </c>
      <c r="CS14">
        <v>762.1</v>
      </c>
      <c r="CT14">
        <v>0</v>
      </c>
      <c r="CU14">
        <v>0</v>
      </c>
      <c r="CV14">
        <v>0</v>
      </c>
      <c r="CW14">
        <v>0</v>
      </c>
      <c r="CX14">
        <v>0</v>
      </c>
      <c r="CY14">
        <v>105.6</v>
      </c>
      <c r="CZ14">
        <v>683</v>
      </c>
      <c r="DA14">
        <v>736.5</v>
      </c>
      <c r="DB14">
        <v>0</v>
      </c>
      <c r="DC14">
        <v>0</v>
      </c>
      <c r="DD14">
        <v>476.1</v>
      </c>
      <c r="DE14">
        <v>476.1</v>
      </c>
      <c r="DF14">
        <v>898</v>
      </c>
      <c r="DG14">
        <v>3087.4</v>
      </c>
      <c r="DH14">
        <v>744.1</v>
      </c>
      <c r="DI14">
        <v>3448.7</v>
      </c>
      <c r="DJ14">
        <v>6898.2</v>
      </c>
      <c r="DK14">
        <v>102495.99999999999</v>
      </c>
      <c r="DL14">
        <v>0</v>
      </c>
      <c r="DM14">
        <v>0</v>
      </c>
      <c r="DN14">
        <v>6068.6</v>
      </c>
      <c r="DO14">
        <v>6446.6</v>
      </c>
      <c r="DP14">
        <v>26380.300000000003</v>
      </c>
      <c r="DQ14">
        <v>68273.5</v>
      </c>
      <c r="DR14">
        <v>2769.3</v>
      </c>
      <c r="DS14">
        <v>11384.2</v>
      </c>
      <c r="DT14">
        <v>6692.0999999999995</v>
      </c>
      <c r="DU14">
        <v>21722.1</v>
      </c>
      <c r="DV14">
        <v>2336</v>
      </c>
      <c r="DW14">
        <v>27640.1</v>
      </c>
      <c r="DX14">
        <v>0</v>
      </c>
      <c r="DY14">
        <v>0</v>
      </c>
      <c r="DZ14">
        <v>1737</v>
      </c>
      <c r="EA14">
        <v>2342.3000000000002</v>
      </c>
      <c r="EB14">
        <v>9.1999999999999993</v>
      </c>
      <c r="EC14">
        <v>9.1999999999999993</v>
      </c>
      <c r="ED14">
        <v>0</v>
      </c>
      <c r="EE14">
        <v>0</v>
      </c>
      <c r="EF14">
        <v>2119.9</v>
      </c>
      <c r="EG14">
        <v>2534.6</v>
      </c>
      <c r="EH14">
        <v>0</v>
      </c>
      <c r="EI14">
        <v>0</v>
      </c>
      <c r="EJ14">
        <v>0</v>
      </c>
      <c r="EK14">
        <v>0</v>
      </c>
      <c r="EN14">
        <v>161063.10000000003</v>
      </c>
      <c r="EO14">
        <v>730168.99999999977</v>
      </c>
    </row>
    <row r="15" spans="1:145" x14ac:dyDescent="0.2">
      <c r="A15" s="15" t="s">
        <v>93</v>
      </c>
      <c r="B15">
        <v>0</v>
      </c>
      <c r="C15">
        <v>0</v>
      </c>
      <c r="D15">
        <v>0</v>
      </c>
      <c r="E15">
        <v>0</v>
      </c>
      <c r="F15">
        <v>0</v>
      </c>
      <c r="G15">
        <v>0</v>
      </c>
      <c r="H15">
        <v>0</v>
      </c>
      <c r="I15">
        <v>0</v>
      </c>
      <c r="J15">
        <v>36.649000000000001</v>
      </c>
      <c r="K15">
        <v>36.649000000000001</v>
      </c>
      <c r="L15">
        <v>0</v>
      </c>
      <c r="M15">
        <v>0</v>
      </c>
      <c r="N15">
        <v>0</v>
      </c>
      <c r="O15">
        <v>0</v>
      </c>
      <c r="P15">
        <v>0</v>
      </c>
      <c r="Q15">
        <v>0</v>
      </c>
      <c r="R15">
        <v>0</v>
      </c>
      <c r="S15">
        <v>0</v>
      </c>
      <c r="T15">
        <v>0</v>
      </c>
      <c r="U15">
        <v>0</v>
      </c>
      <c r="V15">
        <v>0</v>
      </c>
      <c r="W15">
        <v>0</v>
      </c>
      <c r="X15">
        <v>0</v>
      </c>
      <c r="Y15">
        <v>0</v>
      </c>
      <c r="Z15">
        <v>0</v>
      </c>
      <c r="AA15">
        <v>0</v>
      </c>
      <c r="AB15">
        <v>0</v>
      </c>
      <c r="AC15">
        <v>0</v>
      </c>
      <c r="AD15">
        <v>997.798</v>
      </c>
      <c r="AE15">
        <v>1228.53</v>
      </c>
      <c r="AF15">
        <v>0</v>
      </c>
      <c r="AG15">
        <v>0</v>
      </c>
      <c r="AH15">
        <v>0</v>
      </c>
      <c r="AI15">
        <v>0</v>
      </c>
      <c r="AJ15">
        <v>0</v>
      </c>
      <c r="AK15">
        <v>0</v>
      </c>
      <c r="AL15">
        <v>264.69600000000003</v>
      </c>
      <c r="AM15">
        <v>793.03300000000002</v>
      </c>
      <c r="AN15">
        <v>0</v>
      </c>
      <c r="AO15">
        <v>0</v>
      </c>
      <c r="AP15">
        <v>0</v>
      </c>
      <c r="AQ15">
        <v>0</v>
      </c>
      <c r="AR15">
        <v>0</v>
      </c>
      <c r="AS15">
        <v>0</v>
      </c>
      <c r="AT15">
        <v>728.42200000000003</v>
      </c>
      <c r="AU15">
        <v>1474.9369999999999</v>
      </c>
      <c r="AV15">
        <v>2054.9380000000001</v>
      </c>
      <c r="AW15">
        <v>3560.5219999999999</v>
      </c>
      <c r="AX15">
        <v>0</v>
      </c>
      <c r="AY15">
        <v>0</v>
      </c>
      <c r="AZ15">
        <v>0</v>
      </c>
      <c r="BA15">
        <v>0</v>
      </c>
      <c r="BB15">
        <v>0</v>
      </c>
      <c r="BC15">
        <v>0</v>
      </c>
      <c r="BD15">
        <v>0</v>
      </c>
      <c r="BE15">
        <v>0</v>
      </c>
      <c r="BF15">
        <v>0</v>
      </c>
      <c r="BG15">
        <v>0</v>
      </c>
      <c r="BH15">
        <v>0</v>
      </c>
      <c r="BI15">
        <v>0</v>
      </c>
      <c r="BJ15">
        <v>0</v>
      </c>
      <c r="BK15">
        <v>0</v>
      </c>
      <c r="BL15">
        <v>0</v>
      </c>
      <c r="BM15">
        <v>0</v>
      </c>
      <c r="BN15">
        <v>0</v>
      </c>
      <c r="BO15">
        <v>0</v>
      </c>
      <c r="BP15">
        <v>27.373000000000001</v>
      </c>
      <c r="BQ15">
        <v>27.373000000000001</v>
      </c>
      <c r="BR15">
        <v>0</v>
      </c>
      <c r="BS15">
        <v>0</v>
      </c>
      <c r="BT15">
        <v>0</v>
      </c>
      <c r="BU15">
        <v>0</v>
      </c>
      <c r="BV15">
        <v>0</v>
      </c>
      <c r="BW15">
        <v>0</v>
      </c>
      <c r="BX15">
        <v>1</v>
      </c>
      <c r="BY15">
        <v>1</v>
      </c>
      <c r="BZ15">
        <v>0</v>
      </c>
      <c r="CA15">
        <v>0</v>
      </c>
      <c r="CB15">
        <v>0</v>
      </c>
      <c r="CC15">
        <v>0</v>
      </c>
      <c r="CD15">
        <v>0</v>
      </c>
      <c r="CE15">
        <v>0</v>
      </c>
      <c r="CF15">
        <v>0</v>
      </c>
      <c r="CG15">
        <v>0</v>
      </c>
      <c r="CH15">
        <v>0</v>
      </c>
      <c r="CI15">
        <v>0</v>
      </c>
      <c r="CJ15">
        <v>0</v>
      </c>
      <c r="CK15">
        <v>0</v>
      </c>
      <c r="CL15">
        <v>0</v>
      </c>
      <c r="CM15">
        <v>0</v>
      </c>
      <c r="CN15">
        <v>0</v>
      </c>
      <c r="CO15">
        <v>0</v>
      </c>
      <c r="CP15">
        <v>0</v>
      </c>
      <c r="CQ15">
        <v>0</v>
      </c>
      <c r="CR15">
        <v>0</v>
      </c>
      <c r="CS15">
        <v>0</v>
      </c>
      <c r="CT15">
        <v>0</v>
      </c>
      <c r="CU15">
        <v>0</v>
      </c>
      <c r="CV15">
        <v>0</v>
      </c>
      <c r="CW15">
        <v>0</v>
      </c>
      <c r="CX15">
        <v>0</v>
      </c>
      <c r="CY15">
        <v>0</v>
      </c>
      <c r="CZ15">
        <v>0</v>
      </c>
      <c r="DA15">
        <v>0</v>
      </c>
      <c r="DB15">
        <v>0</v>
      </c>
      <c r="DC15">
        <v>0</v>
      </c>
      <c r="DD15">
        <v>0</v>
      </c>
      <c r="DE15">
        <v>0</v>
      </c>
      <c r="DF15">
        <v>0</v>
      </c>
      <c r="DG15">
        <v>0</v>
      </c>
      <c r="DH15">
        <v>0</v>
      </c>
      <c r="DI15">
        <v>0</v>
      </c>
      <c r="DJ15">
        <v>0</v>
      </c>
      <c r="DK15">
        <v>0</v>
      </c>
      <c r="DL15">
        <v>0</v>
      </c>
      <c r="DM15">
        <v>0</v>
      </c>
      <c r="DN15">
        <v>1990.9160000000002</v>
      </c>
      <c r="DO15">
        <v>3496.5</v>
      </c>
      <c r="DP15">
        <v>0</v>
      </c>
      <c r="DQ15">
        <v>0</v>
      </c>
      <c r="DR15">
        <v>0</v>
      </c>
      <c r="DS15">
        <v>0</v>
      </c>
      <c r="DT15">
        <v>0</v>
      </c>
      <c r="DU15">
        <v>0</v>
      </c>
      <c r="DV15">
        <v>0</v>
      </c>
      <c r="DW15">
        <v>0</v>
      </c>
      <c r="DX15">
        <v>0</v>
      </c>
      <c r="DY15">
        <v>0</v>
      </c>
      <c r="DZ15">
        <v>0</v>
      </c>
      <c r="EA15">
        <v>0</v>
      </c>
      <c r="EB15">
        <v>0</v>
      </c>
      <c r="EC15">
        <v>0</v>
      </c>
      <c r="ED15">
        <v>0</v>
      </c>
      <c r="EE15">
        <v>0</v>
      </c>
      <c r="EF15">
        <v>0</v>
      </c>
      <c r="EG15">
        <v>0</v>
      </c>
      <c r="EH15">
        <v>0</v>
      </c>
      <c r="EI15">
        <v>0</v>
      </c>
      <c r="EJ15">
        <v>0</v>
      </c>
      <c r="EK15">
        <v>0</v>
      </c>
      <c r="EN15">
        <v>6101.7920000000004</v>
      </c>
      <c r="EO15">
        <v>10618.544</v>
      </c>
    </row>
    <row r="16" spans="1:145" x14ac:dyDescent="0.2">
      <c r="A16" s="15" t="s">
        <v>12</v>
      </c>
      <c r="B16">
        <v>19346</v>
      </c>
      <c r="C16">
        <v>27639.200000000001</v>
      </c>
      <c r="D16">
        <v>3261.4</v>
      </c>
      <c r="E16">
        <v>3851.6000000000004</v>
      </c>
      <c r="F16">
        <v>8467.6</v>
      </c>
      <c r="G16">
        <v>8490.6</v>
      </c>
      <c r="H16">
        <v>0</v>
      </c>
      <c r="I16">
        <v>0</v>
      </c>
      <c r="J16">
        <v>0</v>
      </c>
      <c r="K16">
        <v>0</v>
      </c>
      <c r="L16">
        <v>1890.2</v>
      </c>
      <c r="M16">
        <v>5237.7</v>
      </c>
      <c r="N16">
        <v>2576.1</v>
      </c>
      <c r="O16">
        <v>110418.40000000001</v>
      </c>
      <c r="P16">
        <v>0</v>
      </c>
      <c r="Q16">
        <v>0</v>
      </c>
      <c r="R16">
        <v>3271.9</v>
      </c>
      <c r="S16">
        <v>3306.7000000000003</v>
      </c>
      <c r="T16">
        <v>0</v>
      </c>
      <c r="U16">
        <v>0</v>
      </c>
      <c r="V16">
        <v>8563.2999999999993</v>
      </c>
      <c r="W16">
        <v>21932.199999999997</v>
      </c>
      <c r="X16">
        <v>44289.74</v>
      </c>
      <c r="Y16">
        <v>70376.039999999994</v>
      </c>
      <c r="Z16">
        <v>46705.599999999999</v>
      </c>
      <c r="AA16">
        <v>46877.299999999996</v>
      </c>
      <c r="AB16">
        <v>8891.4</v>
      </c>
      <c r="AC16">
        <v>156032.4</v>
      </c>
      <c r="AD16">
        <v>7902.3</v>
      </c>
      <c r="AE16">
        <v>10390.9</v>
      </c>
      <c r="AF16">
        <v>311.60000000000002</v>
      </c>
      <c r="AG16">
        <v>311.60000000000002</v>
      </c>
      <c r="AH16">
        <v>1656</v>
      </c>
      <c r="AI16">
        <v>1884.3</v>
      </c>
      <c r="AJ16">
        <v>27126.3</v>
      </c>
      <c r="AK16">
        <v>163706.19999999998</v>
      </c>
      <c r="AL16">
        <v>0</v>
      </c>
      <c r="AM16">
        <v>0</v>
      </c>
      <c r="AN16">
        <v>0</v>
      </c>
      <c r="AO16">
        <v>43</v>
      </c>
      <c r="AP16">
        <v>0</v>
      </c>
      <c r="AQ16">
        <v>4411.7</v>
      </c>
      <c r="AR16">
        <v>266364.14</v>
      </c>
      <c r="AS16">
        <v>520125.39</v>
      </c>
      <c r="AT16">
        <v>32464.2</v>
      </c>
      <c r="AU16">
        <v>60872.3</v>
      </c>
      <c r="AV16">
        <v>693088.78000000014</v>
      </c>
      <c r="AW16">
        <v>2889344.3800000004</v>
      </c>
      <c r="AX16">
        <v>2057.6</v>
      </c>
      <c r="AY16">
        <v>3754</v>
      </c>
      <c r="AZ16">
        <v>54088</v>
      </c>
      <c r="BA16">
        <v>1008867.9</v>
      </c>
      <c r="BB16">
        <v>0</v>
      </c>
      <c r="BC16">
        <v>15997.9</v>
      </c>
      <c r="BD16">
        <v>22944.1</v>
      </c>
      <c r="BE16">
        <v>209568.80000000002</v>
      </c>
      <c r="BF16">
        <v>7413.5</v>
      </c>
      <c r="BG16">
        <v>62185.5</v>
      </c>
      <c r="BH16">
        <v>4798.8</v>
      </c>
      <c r="BI16">
        <v>5868.1</v>
      </c>
      <c r="BJ16">
        <v>3122.7</v>
      </c>
      <c r="BK16">
        <v>16547.400000000001</v>
      </c>
      <c r="BL16">
        <v>0</v>
      </c>
      <c r="BM16">
        <v>0</v>
      </c>
      <c r="BN16">
        <v>22430.6</v>
      </c>
      <c r="BO16">
        <v>23094.799999999999</v>
      </c>
      <c r="BP16">
        <v>9172.9</v>
      </c>
      <c r="BQ16">
        <v>22654.1</v>
      </c>
      <c r="BR16">
        <v>281.89999999999998</v>
      </c>
      <c r="BS16">
        <v>293.7</v>
      </c>
      <c r="BT16">
        <v>0</v>
      </c>
      <c r="BU16">
        <v>22.1</v>
      </c>
      <c r="BV16">
        <v>0</v>
      </c>
      <c r="BW16">
        <v>27.4</v>
      </c>
      <c r="BX16">
        <v>0.99999999999999978</v>
      </c>
      <c r="BY16">
        <v>0.99999999999999978</v>
      </c>
      <c r="BZ16">
        <v>5183.3999999999996</v>
      </c>
      <c r="CA16">
        <v>78410.899999999994</v>
      </c>
      <c r="CB16">
        <v>0</v>
      </c>
      <c r="CC16">
        <v>0</v>
      </c>
      <c r="CD16">
        <v>8159.2</v>
      </c>
      <c r="CE16">
        <v>8208.9</v>
      </c>
      <c r="CF16">
        <v>0</v>
      </c>
      <c r="CG16">
        <v>0</v>
      </c>
      <c r="CH16">
        <v>1317.2</v>
      </c>
      <c r="CI16">
        <v>16245.2</v>
      </c>
      <c r="CJ16">
        <v>0</v>
      </c>
      <c r="CK16">
        <v>0</v>
      </c>
      <c r="CL16">
        <v>1299.4000000000001</v>
      </c>
      <c r="CM16">
        <v>21862.2</v>
      </c>
      <c r="CN16">
        <v>0</v>
      </c>
      <c r="CO16">
        <v>0</v>
      </c>
      <c r="CP16">
        <v>0</v>
      </c>
      <c r="CQ16">
        <v>9757</v>
      </c>
      <c r="CR16">
        <v>9586.1</v>
      </c>
      <c r="CS16">
        <v>13725.1</v>
      </c>
      <c r="CT16">
        <v>2759.8</v>
      </c>
      <c r="CU16">
        <v>11059.05</v>
      </c>
      <c r="CV16">
        <v>0</v>
      </c>
      <c r="CW16">
        <v>44320.7</v>
      </c>
      <c r="CX16">
        <v>2232.5</v>
      </c>
      <c r="CY16">
        <v>2350.8000000000002</v>
      </c>
      <c r="CZ16">
        <v>9146.2000000000007</v>
      </c>
      <c r="DA16">
        <v>10214</v>
      </c>
      <c r="DB16">
        <v>0</v>
      </c>
      <c r="DC16">
        <v>4078.7</v>
      </c>
      <c r="DD16">
        <v>2625.7</v>
      </c>
      <c r="DE16">
        <v>3171.7</v>
      </c>
      <c r="DF16">
        <v>14992.9</v>
      </c>
      <c r="DG16">
        <v>26757.8</v>
      </c>
      <c r="DH16">
        <v>425.1</v>
      </c>
      <c r="DI16">
        <v>766.6</v>
      </c>
      <c r="DJ16">
        <v>99407.9</v>
      </c>
      <c r="DK16">
        <v>1063747.2</v>
      </c>
      <c r="DL16">
        <v>0</v>
      </c>
      <c r="DM16">
        <v>78588.100000000006</v>
      </c>
      <c r="DN16">
        <v>48837.299999999996</v>
      </c>
      <c r="DO16">
        <v>79783.7</v>
      </c>
      <c r="DP16">
        <v>370625.87999999995</v>
      </c>
      <c r="DQ16">
        <v>651737.42999999993</v>
      </c>
      <c r="DR16">
        <v>45350.5</v>
      </c>
      <c r="DS16">
        <v>298512.09999999998</v>
      </c>
      <c r="DT16">
        <v>55884.799999999996</v>
      </c>
      <c r="DU16">
        <v>212086.89999999997</v>
      </c>
      <c r="DV16">
        <v>13782.800000000001</v>
      </c>
      <c r="DW16">
        <v>272455.09999999998</v>
      </c>
      <c r="DX16">
        <v>711.3</v>
      </c>
      <c r="DY16">
        <v>711.3</v>
      </c>
      <c r="DZ16">
        <v>49315.399999999994</v>
      </c>
      <c r="EA16">
        <v>209068.44999999998</v>
      </c>
      <c r="EB16">
        <v>3209.6</v>
      </c>
      <c r="EC16">
        <v>4175</v>
      </c>
      <c r="ED16">
        <v>711.3</v>
      </c>
      <c r="EE16">
        <v>711.3</v>
      </c>
      <c r="EF16">
        <v>21516.7</v>
      </c>
      <c r="EG16">
        <v>28608.9</v>
      </c>
      <c r="EH16">
        <v>525.79999999999995</v>
      </c>
      <c r="EI16">
        <v>20131.3</v>
      </c>
      <c r="EJ16">
        <v>0</v>
      </c>
      <c r="EK16">
        <v>0</v>
      </c>
      <c r="EN16">
        <v>2070094.44</v>
      </c>
      <c r="EO16">
        <v>8645380.040000001</v>
      </c>
    </row>
    <row r="17" spans="1:145" x14ac:dyDescent="0.2">
      <c r="A17" s="15" t="s">
        <v>13</v>
      </c>
      <c r="B17">
        <v>5122.7</v>
      </c>
      <c r="C17">
        <v>5360.7</v>
      </c>
      <c r="D17">
        <v>1020</v>
      </c>
      <c r="E17">
        <v>1097.8</v>
      </c>
      <c r="F17">
        <v>2840.8</v>
      </c>
      <c r="G17">
        <v>2840.8</v>
      </c>
      <c r="H17">
        <v>0</v>
      </c>
      <c r="I17">
        <v>0</v>
      </c>
      <c r="J17">
        <v>0</v>
      </c>
      <c r="K17">
        <v>0</v>
      </c>
      <c r="L17">
        <v>0</v>
      </c>
      <c r="M17">
        <v>0</v>
      </c>
      <c r="N17">
        <v>956.2</v>
      </c>
      <c r="O17">
        <v>8135.2</v>
      </c>
      <c r="P17">
        <v>0</v>
      </c>
      <c r="Q17">
        <v>0</v>
      </c>
      <c r="R17">
        <v>431.6</v>
      </c>
      <c r="S17">
        <v>621.90000000000009</v>
      </c>
      <c r="T17">
        <v>85.2</v>
      </c>
      <c r="U17">
        <v>336.5</v>
      </c>
      <c r="V17">
        <v>856.2</v>
      </c>
      <c r="W17">
        <v>856.2</v>
      </c>
      <c r="X17">
        <v>2758</v>
      </c>
      <c r="Y17">
        <v>2961</v>
      </c>
      <c r="Z17">
        <v>2187.1999999999998</v>
      </c>
      <c r="AA17">
        <v>2187.1999999999998</v>
      </c>
      <c r="AB17">
        <v>0</v>
      </c>
      <c r="AC17">
        <v>0</v>
      </c>
      <c r="AD17">
        <v>1568.7</v>
      </c>
      <c r="AE17">
        <v>1596.7</v>
      </c>
      <c r="AF17">
        <v>207</v>
      </c>
      <c r="AG17">
        <v>224.4</v>
      </c>
      <c r="AH17">
        <v>677.9</v>
      </c>
      <c r="AI17">
        <v>677.9</v>
      </c>
      <c r="AJ17">
        <v>5637.4</v>
      </c>
      <c r="AK17">
        <v>14118.1</v>
      </c>
      <c r="AL17">
        <v>0</v>
      </c>
      <c r="AM17">
        <v>0</v>
      </c>
      <c r="AN17">
        <v>60.6</v>
      </c>
      <c r="AO17">
        <v>60.6</v>
      </c>
      <c r="AP17">
        <v>0</v>
      </c>
      <c r="AQ17">
        <v>87.5</v>
      </c>
      <c r="AR17">
        <v>15930.8</v>
      </c>
      <c r="AS17">
        <v>16650.7</v>
      </c>
      <c r="AT17">
        <v>2211.9</v>
      </c>
      <c r="AU17">
        <v>4734.3</v>
      </c>
      <c r="AV17">
        <v>57904.500000000007</v>
      </c>
      <c r="AW17">
        <v>99254.200000000012</v>
      </c>
      <c r="AX17">
        <v>554.70000000000005</v>
      </c>
      <c r="AY17">
        <v>604.40000000000009</v>
      </c>
      <c r="AZ17">
        <v>0</v>
      </c>
      <c r="BA17">
        <v>0</v>
      </c>
      <c r="BB17">
        <v>0</v>
      </c>
      <c r="BC17">
        <v>2151.9</v>
      </c>
      <c r="BD17">
        <v>85.6</v>
      </c>
      <c r="BE17">
        <v>378.70000000000005</v>
      </c>
      <c r="BF17">
        <v>161.5</v>
      </c>
      <c r="BG17">
        <v>2571.5</v>
      </c>
      <c r="BH17">
        <v>3.7</v>
      </c>
      <c r="BI17">
        <v>125.3</v>
      </c>
      <c r="BJ17">
        <v>2109.5</v>
      </c>
      <c r="BK17">
        <v>3646.3</v>
      </c>
      <c r="BL17">
        <v>0</v>
      </c>
      <c r="BM17">
        <v>0</v>
      </c>
      <c r="BN17">
        <v>2082.9</v>
      </c>
      <c r="BO17">
        <v>2117.1</v>
      </c>
      <c r="BP17">
        <v>577.6</v>
      </c>
      <c r="BQ17">
        <v>789.6</v>
      </c>
      <c r="BR17">
        <v>0</v>
      </c>
      <c r="BS17">
        <v>0</v>
      </c>
      <c r="BT17">
        <v>0</v>
      </c>
      <c r="BU17">
        <v>0</v>
      </c>
      <c r="BV17">
        <v>0</v>
      </c>
      <c r="BW17">
        <v>0</v>
      </c>
      <c r="BX17">
        <v>0.99999999999999989</v>
      </c>
      <c r="BY17">
        <v>1</v>
      </c>
      <c r="BZ17">
        <v>0</v>
      </c>
      <c r="CA17">
        <v>6161.5</v>
      </c>
      <c r="CB17">
        <v>529.9</v>
      </c>
      <c r="CC17">
        <v>1184</v>
      </c>
      <c r="CD17">
        <v>1799.8</v>
      </c>
      <c r="CE17">
        <v>1917.5</v>
      </c>
      <c r="CF17">
        <v>0</v>
      </c>
      <c r="CG17">
        <v>0</v>
      </c>
      <c r="CH17">
        <v>323.3</v>
      </c>
      <c r="CI17">
        <v>503</v>
      </c>
      <c r="CJ17">
        <v>0</v>
      </c>
      <c r="CK17">
        <v>0</v>
      </c>
      <c r="CL17">
        <v>1460.6</v>
      </c>
      <c r="CM17">
        <v>1466.3</v>
      </c>
      <c r="CN17">
        <v>0</v>
      </c>
      <c r="CO17">
        <v>0</v>
      </c>
      <c r="CP17">
        <v>0</v>
      </c>
      <c r="CQ17">
        <v>210.5</v>
      </c>
      <c r="CR17">
        <v>1711.4</v>
      </c>
      <c r="CS17">
        <v>1711.7</v>
      </c>
      <c r="CT17">
        <v>1177.9000000000001</v>
      </c>
      <c r="CU17">
        <v>2104.1000000000004</v>
      </c>
      <c r="CV17">
        <v>0</v>
      </c>
      <c r="CW17">
        <v>2179.9</v>
      </c>
      <c r="CX17">
        <v>30.4</v>
      </c>
      <c r="CY17">
        <v>364</v>
      </c>
      <c r="CZ17">
        <v>0</v>
      </c>
      <c r="DA17">
        <v>6.5</v>
      </c>
      <c r="DB17">
        <v>0</v>
      </c>
      <c r="DC17">
        <v>2612.3000000000002</v>
      </c>
      <c r="DD17">
        <v>478.6</v>
      </c>
      <c r="DE17">
        <v>535.30000000000007</v>
      </c>
      <c r="DF17">
        <v>139.6</v>
      </c>
      <c r="DG17">
        <v>305.60000000000002</v>
      </c>
      <c r="DH17">
        <v>0</v>
      </c>
      <c r="DI17">
        <v>110.1</v>
      </c>
      <c r="DJ17">
        <v>8225.6</v>
      </c>
      <c r="DK17">
        <v>8575.6</v>
      </c>
      <c r="DL17">
        <v>0</v>
      </c>
      <c r="DM17">
        <v>7242.1</v>
      </c>
      <c r="DN17">
        <v>5787.4000000000005</v>
      </c>
      <c r="DO17">
        <v>8472.9000000000015</v>
      </c>
      <c r="DP17">
        <v>23805.7</v>
      </c>
      <c r="DQ17">
        <v>25101.5</v>
      </c>
      <c r="DR17">
        <v>386.7</v>
      </c>
      <c r="DS17">
        <v>3255.7999999999997</v>
      </c>
      <c r="DT17">
        <v>7570.7000000000016</v>
      </c>
      <c r="DU17">
        <v>14848.600000000002</v>
      </c>
      <c r="DV17">
        <v>1486.1</v>
      </c>
      <c r="DW17">
        <v>9429.3000000000011</v>
      </c>
      <c r="DX17">
        <v>0</v>
      </c>
      <c r="DY17">
        <v>0</v>
      </c>
      <c r="DZ17">
        <v>10064.700000000001</v>
      </c>
      <c r="EA17">
        <v>21538.800000000003</v>
      </c>
      <c r="EB17">
        <v>67.099999999999994</v>
      </c>
      <c r="EC17">
        <v>67.099999999999994</v>
      </c>
      <c r="ED17">
        <v>0</v>
      </c>
      <c r="EE17">
        <v>0</v>
      </c>
      <c r="EF17">
        <v>2043.8</v>
      </c>
      <c r="EG17">
        <v>2868.1</v>
      </c>
      <c r="EH17">
        <v>14.4</v>
      </c>
      <c r="EI17">
        <v>14.4</v>
      </c>
      <c r="EJ17">
        <v>0</v>
      </c>
      <c r="EK17">
        <v>0</v>
      </c>
      <c r="EN17">
        <v>173136.90000000005</v>
      </c>
      <c r="EO17">
        <v>296973.99999999994</v>
      </c>
    </row>
    <row r="18" spans="1:145" x14ac:dyDescent="0.2">
      <c r="A18" s="15" t="s">
        <v>14</v>
      </c>
      <c r="B18">
        <v>75129.399999999994</v>
      </c>
      <c r="C18">
        <v>89904.2</v>
      </c>
      <c r="D18">
        <v>14916.7</v>
      </c>
      <c r="E18">
        <v>35270.699999999997</v>
      </c>
      <c r="F18">
        <v>6844.8</v>
      </c>
      <c r="G18">
        <v>7153</v>
      </c>
      <c r="H18">
        <v>0</v>
      </c>
      <c r="I18">
        <v>0</v>
      </c>
      <c r="J18">
        <v>0</v>
      </c>
      <c r="K18">
        <v>0</v>
      </c>
      <c r="L18">
        <v>5626.6</v>
      </c>
      <c r="M18">
        <v>22552.400000000001</v>
      </c>
      <c r="N18">
        <v>8778.5</v>
      </c>
      <c r="O18">
        <v>92555.4</v>
      </c>
      <c r="P18">
        <v>7051.9</v>
      </c>
      <c r="Q18">
        <v>54479.6</v>
      </c>
      <c r="R18">
        <v>4173.3</v>
      </c>
      <c r="S18">
        <v>10142.400000000001</v>
      </c>
      <c r="T18">
        <v>1201.9000000000001</v>
      </c>
      <c r="U18">
        <v>1206.1000000000001</v>
      </c>
      <c r="V18">
        <v>11540</v>
      </c>
      <c r="W18">
        <v>27930.799999999999</v>
      </c>
      <c r="X18">
        <v>62654.3</v>
      </c>
      <c r="Y18">
        <v>100490.3</v>
      </c>
      <c r="Z18">
        <v>92017</v>
      </c>
      <c r="AA18">
        <v>92017</v>
      </c>
      <c r="AB18">
        <v>2090.6</v>
      </c>
      <c r="AC18">
        <v>8490.7000000000007</v>
      </c>
      <c r="AD18">
        <v>6142.3</v>
      </c>
      <c r="AE18">
        <v>6651.4000000000005</v>
      </c>
      <c r="AF18">
        <v>360.8</v>
      </c>
      <c r="AG18">
        <v>650.40000000000009</v>
      </c>
      <c r="AH18">
        <v>2011.7</v>
      </c>
      <c r="AI18">
        <v>2072.8000000000002</v>
      </c>
      <c r="AJ18">
        <v>149103.5</v>
      </c>
      <c r="AK18">
        <v>290698.2</v>
      </c>
      <c r="AL18">
        <v>0</v>
      </c>
      <c r="AM18">
        <v>0</v>
      </c>
      <c r="AN18">
        <v>3274.7</v>
      </c>
      <c r="AO18">
        <v>3344.5</v>
      </c>
      <c r="AP18">
        <v>0</v>
      </c>
      <c r="AQ18">
        <v>13858.6</v>
      </c>
      <c r="AR18">
        <v>309934.8</v>
      </c>
      <c r="AS18">
        <v>331432</v>
      </c>
      <c r="AT18">
        <v>22122.799999999999</v>
      </c>
      <c r="AU18">
        <v>23610.7</v>
      </c>
      <c r="AV18">
        <v>1114442.0000000002</v>
      </c>
      <c r="AW18">
        <v>2450242.9999999995</v>
      </c>
      <c r="AX18">
        <v>2311.3000000000002</v>
      </c>
      <c r="AY18">
        <v>3357.7000000000003</v>
      </c>
      <c r="AZ18">
        <v>6456.9</v>
      </c>
      <c r="BA18">
        <v>29957.300000000003</v>
      </c>
      <c r="BB18">
        <v>0</v>
      </c>
      <c r="BC18">
        <v>34565.300000000003</v>
      </c>
      <c r="BD18">
        <v>22752.400000000001</v>
      </c>
      <c r="BE18">
        <v>185200.3</v>
      </c>
      <c r="BF18">
        <v>46531.6</v>
      </c>
      <c r="BG18">
        <v>308300.89999999997</v>
      </c>
      <c r="BH18">
        <v>15280.9</v>
      </c>
      <c r="BI18">
        <v>15361.8</v>
      </c>
      <c r="BJ18">
        <v>0</v>
      </c>
      <c r="BK18">
        <v>112108.8</v>
      </c>
      <c r="BL18">
        <v>287.89999999999998</v>
      </c>
      <c r="BM18">
        <v>3536.4</v>
      </c>
      <c r="BN18">
        <v>42758.6</v>
      </c>
      <c r="BO18">
        <v>47096.5</v>
      </c>
      <c r="BP18">
        <v>11617.3</v>
      </c>
      <c r="BQ18">
        <v>17598.699999999997</v>
      </c>
      <c r="BR18">
        <v>2293.1999999999998</v>
      </c>
      <c r="BS18">
        <v>3048.8999999999996</v>
      </c>
      <c r="BT18">
        <v>486.8</v>
      </c>
      <c r="BU18">
        <v>614.9</v>
      </c>
      <c r="BV18">
        <v>1291.8</v>
      </c>
      <c r="BW18">
        <v>1586.8</v>
      </c>
      <c r="BX18">
        <v>0.99999999999999978</v>
      </c>
      <c r="BY18">
        <v>1</v>
      </c>
      <c r="BZ18">
        <v>17626.400000000001</v>
      </c>
      <c r="CA18">
        <v>96522.700000000012</v>
      </c>
      <c r="CB18">
        <v>829</v>
      </c>
      <c r="CC18">
        <v>4568.6000000000004</v>
      </c>
      <c r="CD18">
        <v>15407.4</v>
      </c>
      <c r="CE18">
        <v>16566.400000000001</v>
      </c>
      <c r="CF18">
        <v>0</v>
      </c>
      <c r="CG18">
        <v>0</v>
      </c>
      <c r="CH18">
        <v>7475.9</v>
      </c>
      <c r="CI18">
        <v>16044.699999999999</v>
      </c>
      <c r="CJ18">
        <v>0</v>
      </c>
      <c r="CK18">
        <v>0</v>
      </c>
      <c r="CL18">
        <v>35571.599999999999</v>
      </c>
      <c r="CM18">
        <v>61201.899999999994</v>
      </c>
      <c r="CN18">
        <v>0</v>
      </c>
      <c r="CO18">
        <v>0</v>
      </c>
      <c r="CP18">
        <v>0</v>
      </c>
      <c r="CQ18">
        <v>8057.6</v>
      </c>
      <c r="CR18">
        <v>9124.1</v>
      </c>
      <c r="CS18">
        <v>10540.6</v>
      </c>
      <c r="CT18">
        <v>3664.3</v>
      </c>
      <c r="CU18">
        <v>21179.7</v>
      </c>
      <c r="CV18">
        <v>0</v>
      </c>
      <c r="CW18">
        <v>64391.8</v>
      </c>
      <c r="CX18">
        <v>202.7</v>
      </c>
      <c r="CY18">
        <v>23455.100000000002</v>
      </c>
      <c r="CZ18">
        <v>8552</v>
      </c>
      <c r="DA18">
        <v>9371</v>
      </c>
      <c r="DB18">
        <v>0</v>
      </c>
      <c r="DC18">
        <v>27379.599999999999</v>
      </c>
      <c r="DD18">
        <v>2577.6999999999998</v>
      </c>
      <c r="DE18">
        <v>5525</v>
      </c>
      <c r="DF18">
        <v>28451.1</v>
      </c>
      <c r="DG18">
        <v>38066.699999999997</v>
      </c>
      <c r="DH18">
        <v>190.2</v>
      </c>
      <c r="DI18">
        <v>2543.1999999999998</v>
      </c>
      <c r="DJ18">
        <v>141554.79999999999</v>
      </c>
      <c r="DK18">
        <v>205277.59999999998</v>
      </c>
      <c r="DL18">
        <v>486.8</v>
      </c>
      <c r="DM18">
        <v>148867.80000000002</v>
      </c>
      <c r="DN18">
        <v>44033.299999999996</v>
      </c>
      <c r="DO18">
        <v>47478.899999999994</v>
      </c>
      <c r="DP18">
        <v>488223.60000000003</v>
      </c>
      <c r="DQ18">
        <v>550000.5</v>
      </c>
      <c r="DR18">
        <v>98023</v>
      </c>
      <c r="DS18">
        <v>535104.29999999993</v>
      </c>
      <c r="DT18">
        <v>137991.59999999998</v>
      </c>
      <c r="DU18">
        <v>291459.99999999994</v>
      </c>
      <c r="DV18">
        <v>24566.799999999999</v>
      </c>
      <c r="DW18">
        <v>185189.89999999997</v>
      </c>
      <c r="DX18">
        <v>237.29999999999998</v>
      </c>
      <c r="DY18">
        <v>237.29999999999998</v>
      </c>
      <c r="DZ18">
        <v>167707.5</v>
      </c>
      <c r="EA18">
        <v>469028</v>
      </c>
      <c r="EB18">
        <v>2067.6999999999998</v>
      </c>
      <c r="EC18">
        <v>2939.5</v>
      </c>
      <c r="ED18">
        <v>237.29999999999998</v>
      </c>
      <c r="EE18">
        <v>237.29999999999998</v>
      </c>
      <c r="EF18">
        <v>27563.3</v>
      </c>
      <c r="EG18">
        <v>37416.400000000001</v>
      </c>
      <c r="EH18">
        <v>17567.099999999999</v>
      </c>
      <c r="EI18">
        <v>25049.399999999998</v>
      </c>
      <c r="EJ18">
        <v>289.89999999999998</v>
      </c>
      <c r="EK18">
        <v>2340.3000000000002</v>
      </c>
      <c r="EN18">
        <v>3331709.6999999993</v>
      </c>
      <c r="EO18">
        <v>7333131.2999999998</v>
      </c>
    </row>
    <row r="19" spans="1:145" x14ac:dyDescent="0.2">
      <c r="A19" s="15" t="s">
        <v>94</v>
      </c>
      <c r="B19">
        <v>0</v>
      </c>
      <c r="C19">
        <v>0</v>
      </c>
      <c r="D19">
        <v>3127.5</v>
      </c>
      <c r="E19">
        <v>8640.2999999999993</v>
      </c>
      <c r="F19">
        <v>0</v>
      </c>
      <c r="G19">
        <v>0</v>
      </c>
      <c r="H19">
        <v>0</v>
      </c>
      <c r="I19">
        <v>0</v>
      </c>
      <c r="J19">
        <v>24893.200000000001</v>
      </c>
      <c r="K19">
        <v>24893.200000000001</v>
      </c>
      <c r="L19">
        <v>0</v>
      </c>
      <c r="M19">
        <v>0</v>
      </c>
      <c r="N19">
        <v>6518.1</v>
      </c>
      <c r="O19">
        <v>13838.400000000001</v>
      </c>
      <c r="P19">
        <v>0</v>
      </c>
      <c r="Q19">
        <v>0</v>
      </c>
      <c r="R19">
        <v>0</v>
      </c>
      <c r="S19">
        <v>0</v>
      </c>
      <c r="T19">
        <v>0</v>
      </c>
      <c r="U19">
        <v>0</v>
      </c>
      <c r="V19">
        <v>0</v>
      </c>
      <c r="W19">
        <v>0</v>
      </c>
      <c r="X19">
        <v>0</v>
      </c>
      <c r="Y19">
        <v>0</v>
      </c>
      <c r="Z19">
        <v>0</v>
      </c>
      <c r="AA19">
        <v>0</v>
      </c>
      <c r="AB19">
        <v>2.8</v>
      </c>
      <c r="AC19">
        <v>135335.19999999998</v>
      </c>
      <c r="AD19">
        <v>10935.2</v>
      </c>
      <c r="AE19">
        <v>14156.900000000001</v>
      </c>
      <c r="AF19">
        <v>0</v>
      </c>
      <c r="AG19">
        <v>0</v>
      </c>
      <c r="AH19">
        <v>0</v>
      </c>
      <c r="AI19">
        <v>0</v>
      </c>
      <c r="AJ19">
        <v>3.8</v>
      </c>
      <c r="AK19">
        <v>136.30000000000001</v>
      </c>
      <c r="AL19">
        <v>15578.6</v>
      </c>
      <c r="AM19">
        <v>28565</v>
      </c>
      <c r="AN19">
        <v>0</v>
      </c>
      <c r="AO19">
        <v>0</v>
      </c>
      <c r="AP19">
        <v>0</v>
      </c>
      <c r="AQ19">
        <v>0</v>
      </c>
      <c r="AR19">
        <v>0</v>
      </c>
      <c r="AS19">
        <v>25.9</v>
      </c>
      <c r="AT19">
        <v>30708.2</v>
      </c>
      <c r="AU19">
        <v>38466.800000000003</v>
      </c>
      <c r="AV19">
        <v>113209.70000000001</v>
      </c>
      <c r="AW19">
        <v>302917.5</v>
      </c>
      <c r="AX19">
        <v>0</v>
      </c>
      <c r="AY19">
        <v>0</v>
      </c>
      <c r="AZ19">
        <v>0</v>
      </c>
      <c r="BA19">
        <v>0</v>
      </c>
      <c r="BB19">
        <v>0</v>
      </c>
      <c r="BC19">
        <v>0</v>
      </c>
      <c r="BD19">
        <v>0</v>
      </c>
      <c r="BE19">
        <v>290.8</v>
      </c>
      <c r="BF19">
        <v>2870.4</v>
      </c>
      <c r="BG19">
        <v>9071.6</v>
      </c>
      <c r="BH19">
        <v>0</v>
      </c>
      <c r="BI19">
        <v>0</v>
      </c>
      <c r="BJ19">
        <v>0</v>
      </c>
      <c r="BK19">
        <v>0</v>
      </c>
      <c r="BL19">
        <v>0</v>
      </c>
      <c r="BM19">
        <v>0</v>
      </c>
      <c r="BN19">
        <v>829.3</v>
      </c>
      <c r="BO19">
        <v>2404</v>
      </c>
      <c r="BP19">
        <v>1045.8</v>
      </c>
      <c r="BQ19">
        <v>1602.5</v>
      </c>
      <c r="BR19">
        <v>0</v>
      </c>
      <c r="BS19">
        <v>0</v>
      </c>
      <c r="BT19">
        <v>0</v>
      </c>
      <c r="BU19">
        <v>0</v>
      </c>
      <c r="BV19">
        <v>0</v>
      </c>
      <c r="BW19">
        <v>0</v>
      </c>
      <c r="BX19">
        <v>0.99999999999999989</v>
      </c>
      <c r="BY19">
        <v>1</v>
      </c>
      <c r="BZ19">
        <v>10100</v>
      </c>
      <c r="CA19">
        <v>10100</v>
      </c>
      <c r="CB19">
        <v>0</v>
      </c>
      <c r="CC19">
        <v>0</v>
      </c>
      <c r="CD19">
        <v>3545.3</v>
      </c>
      <c r="CE19">
        <v>5593.1</v>
      </c>
      <c r="CF19">
        <v>0</v>
      </c>
      <c r="CG19">
        <v>0</v>
      </c>
      <c r="CH19">
        <v>345.1</v>
      </c>
      <c r="CI19">
        <v>2078.1999999999998</v>
      </c>
      <c r="CJ19">
        <v>0</v>
      </c>
      <c r="CK19">
        <v>0</v>
      </c>
      <c r="CL19">
        <v>37.9</v>
      </c>
      <c r="CM19">
        <v>37.9</v>
      </c>
      <c r="CN19">
        <v>0</v>
      </c>
      <c r="CO19">
        <v>0</v>
      </c>
      <c r="CP19">
        <v>0</v>
      </c>
      <c r="CQ19">
        <v>350.7</v>
      </c>
      <c r="CR19">
        <v>0</v>
      </c>
      <c r="CS19">
        <v>0</v>
      </c>
      <c r="CT19">
        <v>0</v>
      </c>
      <c r="CU19">
        <v>708.6</v>
      </c>
      <c r="CV19">
        <v>0</v>
      </c>
      <c r="CW19">
        <v>0</v>
      </c>
      <c r="CX19">
        <v>0</v>
      </c>
      <c r="CY19">
        <v>0</v>
      </c>
      <c r="CZ19">
        <v>30.9</v>
      </c>
      <c r="DA19">
        <v>63.1</v>
      </c>
      <c r="DB19">
        <v>0</v>
      </c>
      <c r="DC19">
        <v>0</v>
      </c>
      <c r="DD19">
        <v>0</v>
      </c>
      <c r="DE19">
        <v>0</v>
      </c>
      <c r="DF19">
        <v>785.1</v>
      </c>
      <c r="DG19">
        <v>835.4</v>
      </c>
      <c r="DH19">
        <v>1506</v>
      </c>
      <c r="DI19">
        <v>5377.1</v>
      </c>
      <c r="DJ19">
        <v>3956.8</v>
      </c>
      <c r="DK19">
        <v>11044.3</v>
      </c>
      <c r="DL19">
        <v>0</v>
      </c>
      <c r="DM19">
        <v>350.7</v>
      </c>
      <c r="DN19">
        <v>60767.3</v>
      </c>
      <c r="DO19">
        <v>86781.8</v>
      </c>
      <c r="DP19">
        <v>0</v>
      </c>
      <c r="DQ19">
        <v>25.9</v>
      </c>
      <c r="DR19">
        <v>3655.5</v>
      </c>
      <c r="DS19">
        <v>10197.799999999999</v>
      </c>
      <c r="DT19">
        <v>10829.5</v>
      </c>
      <c r="DU19">
        <v>12562.6</v>
      </c>
      <c r="DV19">
        <v>8026.9000000000005</v>
      </c>
      <c r="DW19">
        <v>154550.69999999998</v>
      </c>
      <c r="DX19">
        <v>0</v>
      </c>
      <c r="DY19">
        <v>0</v>
      </c>
      <c r="DZ19">
        <v>34.699999999999996</v>
      </c>
      <c r="EA19">
        <v>908.00000000000011</v>
      </c>
      <c r="EB19">
        <v>0</v>
      </c>
      <c r="EC19">
        <v>0</v>
      </c>
      <c r="ED19">
        <v>0</v>
      </c>
      <c r="EE19">
        <v>0</v>
      </c>
      <c r="EF19">
        <v>0</v>
      </c>
      <c r="EG19">
        <v>0</v>
      </c>
      <c r="EH19">
        <v>346.5</v>
      </c>
      <c r="EI19">
        <v>346.5</v>
      </c>
      <c r="EJ19">
        <v>0</v>
      </c>
      <c r="EK19">
        <v>0</v>
      </c>
      <c r="EN19">
        <v>313691.10000000003</v>
      </c>
      <c r="EO19">
        <v>882257.79999999993</v>
      </c>
    </row>
    <row r="20" spans="1:145" x14ac:dyDescent="0.2">
      <c r="A20" s="15" t="s">
        <v>15</v>
      </c>
      <c r="B20">
        <v>2696</v>
      </c>
      <c r="C20">
        <v>2696</v>
      </c>
      <c r="D20">
        <v>141.1</v>
      </c>
      <c r="E20">
        <v>243.3</v>
      </c>
      <c r="F20">
        <v>3569.1</v>
      </c>
      <c r="G20">
        <v>4915.5</v>
      </c>
      <c r="H20">
        <v>399.9</v>
      </c>
      <c r="I20">
        <v>402.2</v>
      </c>
      <c r="J20">
        <v>1944.8</v>
      </c>
      <c r="K20">
        <v>2986.7</v>
      </c>
      <c r="L20">
        <v>232.7</v>
      </c>
      <c r="M20">
        <v>1766.1000000000001</v>
      </c>
      <c r="N20">
        <v>447.7</v>
      </c>
      <c r="O20">
        <v>8748</v>
      </c>
      <c r="P20">
        <v>0</v>
      </c>
      <c r="Q20">
        <v>0</v>
      </c>
      <c r="R20">
        <v>519.9</v>
      </c>
      <c r="S20">
        <v>548.29999999999995</v>
      </c>
      <c r="T20">
        <v>0</v>
      </c>
      <c r="U20">
        <v>0</v>
      </c>
      <c r="V20">
        <v>1753.4</v>
      </c>
      <c r="W20">
        <v>4612.3</v>
      </c>
      <c r="X20">
        <v>3887.2</v>
      </c>
      <c r="Y20">
        <v>4149.3</v>
      </c>
      <c r="Z20">
        <v>1577.5</v>
      </c>
      <c r="AA20">
        <v>1577.5</v>
      </c>
      <c r="AB20">
        <v>0</v>
      </c>
      <c r="AC20">
        <v>0</v>
      </c>
      <c r="AD20">
        <v>3824.7</v>
      </c>
      <c r="AE20">
        <v>3936.3999999999996</v>
      </c>
      <c r="AF20">
        <v>0</v>
      </c>
      <c r="AG20">
        <v>0</v>
      </c>
      <c r="AH20">
        <v>812.6</v>
      </c>
      <c r="AI20">
        <v>849.5</v>
      </c>
      <c r="AJ20">
        <v>16854.900000000001</v>
      </c>
      <c r="AK20">
        <v>46509.600000000006</v>
      </c>
      <c r="AL20">
        <v>1094.2</v>
      </c>
      <c r="AM20">
        <v>5561.3</v>
      </c>
      <c r="AN20">
        <v>125</v>
      </c>
      <c r="AO20">
        <v>250</v>
      </c>
      <c r="AP20">
        <v>0</v>
      </c>
      <c r="AQ20">
        <v>8030.4</v>
      </c>
      <c r="AR20">
        <v>42576.6</v>
      </c>
      <c r="AS20">
        <v>44589.2</v>
      </c>
      <c r="AT20">
        <v>3628.1</v>
      </c>
      <c r="AU20">
        <v>3628.1</v>
      </c>
      <c r="AV20">
        <v>110083.30000000002</v>
      </c>
      <c r="AW20">
        <v>205976.4</v>
      </c>
      <c r="AX20">
        <v>475.2</v>
      </c>
      <c r="AY20">
        <v>662.8</v>
      </c>
      <c r="AZ20">
        <v>0</v>
      </c>
      <c r="BA20">
        <v>0</v>
      </c>
      <c r="BB20">
        <v>0</v>
      </c>
      <c r="BC20">
        <v>8567.9</v>
      </c>
      <c r="BD20">
        <v>461</v>
      </c>
      <c r="BE20">
        <v>4733.2</v>
      </c>
      <c r="BF20">
        <v>310</v>
      </c>
      <c r="BG20">
        <v>310</v>
      </c>
      <c r="BH20">
        <v>2260.1999999999998</v>
      </c>
      <c r="BI20">
        <v>2570.8999999999996</v>
      </c>
      <c r="BJ20">
        <v>1655.1</v>
      </c>
      <c r="BK20">
        <v>6154.9</v>
      </c>
      <c r="BL20">
        <v>0</v>
      </c>
      <c r="BM20">
        <v>0</v>
      </c>
      <c r="BN20">
        <v>3531.4</v>
      </c>
      <c r="BO20">
        <v>3531.4</v>
      </c>
      <c r="BP20">
        <v>1040.5999999999999</v>
      </c>
      <c r="BQ20">
        <v>1269.8</v>
      </c>
      <c r="BR20">
        <v>0</v>
      </c>
      <c r="BS20">
        <v>0</v>
      </c>
      <c r="BT20">
        <v>0</v>
      </c>
      <c r="BU20">
        <v>0</v>
      </c>
      <c r="BV20">
        <v>262</v>
      </c>
      <c r="BW20">
        <v>262</v>
      </c>
      <c r="BX20">
        <v>0.99999999999999978</v>
      </c>
      <c r="BY20">
        <v>1.0000000000000002</v>
      </c>
      <c r="BZ20">
        <v>571.4</v>
      </c>
      <c r="CA20">
        <v>571.4</v>
      </c>
      <c r="CB20">
        <v>87.6</v>
      </c>
      <c r="CC20">
        <v>468</v>
      </c>
      <c r="CD20">
        <v>2263.6999999999998</v>
      </c>
      <c r="CE20">
        <v>2263.6999999999998</v>
      </c>
      <c r="CF20">
        <v>0</v>
      </c>
      <c r="CG20">
        <v>31.4</v>
      </c>
      <c r="CH20">
        <v>0</v>
      </c>
      <c r="CI20">
        <v>0</v>
      </c>
      <c r="CJ20">
        <v>0</v>
      </c>
      <c r="CK20">
        <v>0</v>
      </c>
      <c r="CL20">
        <v>2841.4</v>
      </c>
      <c r="CM20">
        <v>4827.8</v>
      </c>
      <c r="CN20">
        <v>173.8</v>
      </c>
      <c r="CO20">
        <v>173.8</v>
      </c>
      <c r="CP20">
        <v>0</v>
      </c>
      <c r="CQ20">
        <v>2416.6</v>
      </c>
      <c r="CR20">
        <v>1862.6</v>
      </c>
      <c r="CS20">
        <v>1862.6</v>
      </c>
      <c r="CT20">
        <v>371.9</v>
      </c>
      <c r="CU20">
        <v>1397.1</v>
      </c>
      <c r="CV20">
        <v>0</v>
      </c>
      <c r="CW20">
        <v>1049.3</v>
      </c>
      <c r="CX20">
        <v>0</v>
      </c>
      <c r="CY20">
        <v>4872.7</v>
      </c>
      <c r="CZ20">
        <v>937.4</v>
      </c>
      <c r="DA20">
        <v>1330.5</v>
      </c>
      <c r="DB20">
        <v>0</v>
      </c>
      <c r="DC20">
        <v>2123.8000000000002</v>
      </c>
      <c r="DD20">
        <v>266.60000000000002</v>
      </c>
      <c r="DE20">
        <v>507.8</v>
      </c>
      <c r="DF20">
        <v>428.3</v>
      </c>
      <c r="DG20">
        <v>521.9</v>
      </c>
      <c r="DH20">
        <v>266.3</v>
      </c>
      <c r="DI20">
        <v>266.3</v>
      </c>
      <c r="DJ20">
        <v>6368.5</v>
      </c>
      <c r="DK20">
        <v>6470.7</v>
      </c>
      <c r="DL20">
        <v>0</v>
      </c>
      <c r="DM20">
        <v>22187.999999999996</v>
      </c>
      <c r="DN20">
        <v>10810.7</v>
      </c>
      <c r="DO20">
        <v>15389.5</v>
      </c>
      <c r="DP20">
        <v>54444.299999999996</v>
      </c>
      <c r="DQ20">
        <v>58378.399999999994</v>
      </c>
      <c r="DR20">
        <v>1199.3</v>
      </c>
      <c r="DS20">
        <v>5565.1</v>
      </c>
      <c r="DT20">
        <v>12089</v>
      </c>
      <c r="DU20">
        <v>20785.800000000003</v>
      </c>
      <c r="DV20">
        <v>1034.3</v>
      </c>
      <c r="DW20">
        <v>11248.399999999998</v>
      </c>
      <c r="DX20">
        <v>0</v>
      </c>
      <c r="DY20">
        <v>31.4</v>
      </c>
      <c r="DZ20">
        <v>21151.800000000003</v>
      </c>
      <c r="EA20">
        <v>61662.600000000006</v>
      </c>
      <c r="EB20">
        <v>0</v>
      </c>
      <c r="EC20">
        <v>0</v>
      </c>
      <c r="ED20">
        <v>0</v>
      </c>
      <c r="EE20">
        <v>0</v>
      </c>
      <c r="EF20">
        <v>3604.4</v>
      </c>
      <c r="EG20">
        <v>6275.9</v>
      </c>
      <c r="EH20">
        <v>327</v>
      </c>
      <c r="EI20">
        <v>953.2</v>
      </c>
      <c r="EJ20">
        <v>0</v>
      </c>
      <c r="EK20">
        <v>0</v>
      </c>
      <c r="EN20">
        <v>327265.5</v>
      </c>
      <c r="EO20">
        <v>613673.70000000007</v>
      </c>
    </row>
    <row r="21" spans="1:145" x14ac:dyDescent="0.2">
      <c r="A21" s="15" t="s">
        <v>109</v>
      </c>
    </row>
    <row r="22" spans="1:145" x14ac:dyDescent="0.2">
      <c r="A22" s="15" t="s">
        <v>16</v>
      </c>
      <c r="B22">
        <v>150996.26096482581</v>
      </c>
      <c r="C22">
        <v>176923.8378848258</v>
      </c>
      <c r="D22">
        <v>30956.662273456372</v>
      </c>
      <c r="E22">
        <v>70815.28778345637</v>
      </c>
      <c r="F22">
        <v>50870.89626548098</v>
      </c>
      <c r="G22">
        <v>62656.813375480982</v>
      </c>
      <c r="H22">
        <v>3913.5312400000003</v>
      </c>
      <c r="I22">
        <v>4529.6168100000004</v>
      </c>
      <c r="J22">
        <v>44560.249000000011</v>
      </c>
      <c r="K22">
        <v>51034.479560000007</v>
      </c>
      <c r="L22">
        <v>10070.600000000002</v>
      </c>
      <c r="M22">
        <v>54075.713890000006</v>
      </c>
      <c r="N22">
        <v>28068.275909941989</v>
      </c>
      <c r="O22">
        <v>313105.61332994199</v>
      </c>
      <c r="P22">
        <v>7051.9</v>
      </c>
      <c r="Q22">
        <v>54699.087059999998</v>
      </c>
      <c r="R22">
        <v>16312.106189973196</v>
      </c>
      <c r="S22">
        <v>25439.414269973196</v>
      </c>
      <c r="T22">
        <v>34377.943170185121</v>
      </c>
      <c r="U22">
        <v>55083.201600185123</v>
      </c>
      <c r="V22">
        <v>36345.943988490595</v>
      </c>
      <c r="W22">
        <v>84572.918208490591</v>
      </c>
      <c r="X22">
        <v>161301.83783542257</v>
      </c>
      <c r="Y22">
        <v>235044.82696542254</v>
      </c>
      <c r="Z22">
        <v>191034.7</v>
      </c>
      <c r="AA22">
        <v>195556.04819999999</v>
      </c>
      <c r="AB22">
        <v>10984.8</v>
      </c>
      <c r="AC22">
        <v>299931.89156000002</v>
      </c>
      <c r="AD22">
        <v>65501.281151116797</v>
      </c>
      <c r="AE22">
        <v>85165.105181116785</v>
      </c>
      <c r="AF22">
        <v>915.7</v>
      </c>
      <c r="AG22">
        <v>1633.9503100000002</v>
      </c>
      <c r="AH22">
        <v>12762.847907970237</v>
      </c>
      <c r="AI22">
        <v>28901.319837970237</v>
      </c>
      <c r="AJ22">
        <v>315635.37049</v>
      </c>
      <c r="AK22">
        <v>920458.62271999998</v>
      </c>
      <c r="AL22">
        <v>36253.136739193469</v>
      </c>
      <c r="AM22">
        <v>64636.47536919346</v>
      </c>
      <c r="AN22">
        <v>4817.9881499999992</v>
      </c>
      <c r="AO22">
        <v>5008.4906099999998</v>
      </c>
      <c r="AP22">
        <v>597.20787000000007</v>
      </c>
      <c r="AQ22">
        <v>70206.216899999999</v>
      </c>
      <c r="AR22">
        <v>1045421.6476825593</v>
      </c>
      <c r="AS22">
        <v>1367215.4047725592</v>
      </c>
      <c r="AT22">
        <v>144296.88065755874</v>
      </c>
      <c r="AU22">
        <v>199417.06955755877</v>
      </c>
      <c r="AV22">
        <v>3302608.7859200006</v>
      </c>
      <c r="AW22">
        <v>8349924.5655199997</v>
      </c>
      <c r="AX22">
        <v>15036.007822078329</v>
      </c>
      <c r="AY22">
        <v>24726.996872078329</v>
      </c>
      <c r="AZ22">
        <v>63765.5</v>
      </c>
      <c r="BA22">
        <v>1137633.9000000001</v>
      </c>
      <c r="BB22">
        <v>0</v>
      </c>
      <c r="BC22">
        <v>137573.55247999998</v>
      </c>
      <c r="BD22">
        <v>51539.121059999998</v>
      </c>
      <c r="BE22">
        <v>444873.06690000003</v>
      </c>
      <c r="BF22">
        <v>62345.299999999996</v>
      </c>
      <c r="BG22">
        <v>398537.08263999992</v>
      </c>
      <c r="BH22">
        <v>34547.222139999998</v>
      </c>
      <c r="BI22">
        <v>43871.481970000001</v>
      </c>
      <c r="BJ22">
        <v>14049.921719999998</v>
      </c>
      <c r="BK22">
        <v>210488.33837000001</v>
      </c>
      <c r="BL22">
        <v>463.5</v>
      </c>
      <c r="BM22">
        <v>13719.529900000001</v>
      </c>
      <c r="BN22">
        <v>110804.26121112001</v>
      </c>
      <c r="BO22">
        <v>118886.40753112001</v>
      </c>
      <c r="BP22">
        <v>35448.747439999999</v>
      </c>
      <c r="BQ22">
        <v>59754.924569999996</v>
      </c>
      <c r="BR22">
        <v>3454.6508999999996</v>
      </c>
      <c r="BS22">
        <v>4394.5260099999996</v>
      </c>
      <c r="BT22">
        <v>486.8</v>
      </c>
      <c r="BU22">
        <v>1032.5999999999999</v>
      </c>
      <c r="BV22">
        <v>4156.9520400000001</v>
      </c>
      <c r="BW22">
        <v>4700.6119800000006</v>
      </c>
      <c r="BX22">
        <v>15</v>
      </c>
      <c r="BY22">
        <v>15</v>
      </c>
      <c r="BZ22">
        <v>55337.482570000007</v>
      </c>
      <c r="CA22">
        <v>237388.42014</v>
      </c>
      <c r="CB22">
        <v>3068.6</v>
      </c>
      <c r="CC22">
        <v>28110.114329999997</v>
      </c>
      <c r="CD22">
        <v>60402.232012119799</v>
      </c>
      <c r="CE22">
        <v>67183.887732119794</v>
      </c>
      <c r="CF22">
        <v>374.8</v>
      </c>
      <c r="CG22">
        <v>2651.9</v>
      </c>
      <c r="CH22">
        <v>13890.960000000001</v>
      </c>
      <c r="CI22">
        <v>53665.959999999992</v>
      </c>
      <c r="CJ22">
        <v>1910.8999999999999</v>
      </c>
      <c r="CK22">
        <v>2116.8550399999999</v>
      </c>
      <c r="CL22">
        <v>63765.256317424428</v>
      </c>
      <c r="CM22">
        <v>145222.71672742438</v>
      </c>
      <c r="CN22">
        <v>4731.6311549699203</v>
      </c>
      <c r="CO22">
        <v>7311.5153449699201</v>
      </c>
      <c r="CP22">
        <v>3057.4202200000004</v>
      </c>
      <c r="CQ22">
        <v>35932.186249999999</v>
      </c>
      <c r="CR22">
        <v>36393.278503788591</v>
      </c>
      <c r="CS22">
        <v>44843.864423788596</v>
      </c>
      <c r="CT22">
        <v>11934.595394287238</v>
      </c>
      <c r="CU22">
        <v>59356.991834287241</v>
      </c>
      <c r="CV22">
        <v>465.69999999999993</v>
      </c>
      <c r="CW22">
        <v>136210.22631</v>
      </c>
      <c r="CX22">
        <v>2841.1395671214664</v>
      </c>
      <c r="CY22">
        <v>62189.562807121474</v>
      </c>
      <c r="CZ22">
        <v>27569.230041782968</v>
      </c>
      <c r="DA22">
        <v>38413.399051782959</v>
      </c>
      <c r="DB22">
        <v>1.345</v>
      </c>
      <c r="DC22">
        <v>50860.170410000006</v>
      </c>
      <c r="DD22">
        <v>15932.660473547347</v>
      </c>
      <c r="DE22">
        <v>20576.203893547347</v>
      </c>
      <c r="DF22">
        <v>55469.854981021919</v>
      </c>
      <c r="DG22">
        <v>83630.924001021907</v>
      </c>
      <c r="DH22">
        <v>4564.9746613497655</v>
      </c>
      <c r="DI22">
        <v>18096.29480134977</v>
      </c>
      <c r="DJ22">
        <v>359977.33534940216</v>
      </c>
      <c r="DK22">
        <v>1508653.9592094021</v>
      </c>
      <c r="DL22">
        <v>4608.4730900000004</v>
      </c>
      <c r="DM22">
        <v>431814.95235000004</v>
      </c>
      <c r="DN22">
        <v>307369.23055998876</v>
      </c>
      <c r="DO22">
        <v>418036.48814998876</v>
      </c>
      <c r="DP22">
        <v>1527787.7603415428</v>
      </c>
      <c r="DQ22">
        <v>1979524.6864315425</v>
      </c>
      <c r="DR22">
        <v>169817.77604102192</v>
      </c>
      <c r="DS22">
        <v>940760.60344102175</v>
      </c>
      <c r="DT22">
        <v>386801.45221561752</v>
      </c>
      <c r="DU22">
        <v>843477.6079456174</v>
      </c>
      <c r="DV22">
        <v>63809.150571291757</v>
      </c>
      <c r="DW22">
        <v>768018.71497129172</v>
      </c>
      <c r="DX22">
        <v>1323.3999999999999</v>
      </c>
      <c r="DY22">
        <v>3600.5000000000005</v>
      </c>
      <c r="DZ22">
        <v>401105.21131113509</v>
      </c>
      <c r="EA22">
        <v>1345247.6488911351</v>
      </c>
      <c r="EB22">
        <v>8916.6224000000002</v>
      </c>
      <c r="EC22">
        <v>10944.52059</v>
      </c>
      <c r="ED22">
        <v>948.59999999999991</v>
      </c>
      <c r="EE22">
        <v>948.59999999999991</v>
      </c>
      <c r="EF22">
        <v>93639.713189999995</v>
      </c>
      <c r="EG22">
        <v>142436.26003999999</v>
      </c>
      <c r="EH22">
        <v>36657.686760288285</v>
      </c>
      <c r="EI22">
        <v>67273.789420288289</v>
      </c>
      <c r="EJ22">
        <v>1588.3508529248129</v>
      </c>
      <c r="EK22">
        <v>8255.7773929248142</v>
      </c>
      <c r="EN22">
        <v>9827832.3613199983</v>
      </c>
      <c r="EO22">
        <v>24938999.292430002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CE11-7623-4672-B7AB-A679F6A2D8E1}">
  <sheetPr>
    <tabColor theme="1"/>
  </sheetPr>
  <dimension ref="A1:H1201"/>
  <sheetViews>
    <sheetView topLeftCell="A1177" zoomScale="120" zoomScaleNormal="120" workbookViewId="0">
      <selection activeCell="E1197" sqref="E1197"/>
    </sheetView>
  </sheetViews>
  <sheetFormatPr baseColWidth="10" defaultColWidth="9.1640625" defaultRowHeight="15" x14ac:dyDescent="0.2"/>
  <cols>
    <col min="1" max="1" width="16.83203125" style="6" customWidth="1"/>
    <col min="2" max="2" width="39.6640625" style="1" bestFit="1" customWidth="1"/>
    <col min="3" max="3" width="49.33203125" style="1" bestFit="1" customWidth="1"/>
    <col min="4" max="6" width="22.1640625" style="4" customWidth="1"/>
    <col min="7" max="16384" width="9.1640625" style="1"/>
  </cols>
  <sheetData>
    <row r="1" spans="1:8" s="2" customFormat="1" x14ac:dyDescent="0.2">
      <c r="A1" s="3" t="s">
        <v>18</v>
      </c>
      <c r="B1" s="2" t="s">
        <v>3</v>
      </c>
      <c r="C1" s="2" t="s">
        <v>19</v>
      </c>
      <c r="D1" s="5" t="s">
        <v>20</v>
      </c>
      <c r="E1" s="5" t="s">
        <v>21</v>
      </c>
      <c r="F1" s="5" t="s">
        <v>22</v>
      </c>
      <c r="H1" s="2" t="s">
        <v>185</v>
      </c>
    </row>
    <row r="2" spans="1:8" x14ac:dyDescent="0.2">
      <c r="A2" s="6">
        <v>1</v>
      </c>
      <c r="B2" s="1" t="s">
        <v>4</v>
      </c>
      <c r="C2" s="1" t="s">
        <v>23</v>
      </c>
      <c r="D2" s="4">
        <v>19255</v>
      </c>
      <c r="E2" s="4">
        <v>1977.6999999999996</v>
      </c>
      <c r="F2" s="4">
        <v>21232.7</v>
      </c>
      <c r="H2" s="68">
        <f>IFERROR(E2/F2,0)</f>
        <v>9.3144065521577543E-2</v>
      </c>
    </row>
    <row r="3" spans="1:8" x14ac:dyDescent="0.2">
      <c r="A3" s="6">
        <v>2</v>
      </c>
      <c r="B3" s="1" t="s">
        <v>4</v>
      </c>
      <c r="C3" s="1" t="s">
        <v>24</v>
      </c>
      <c r="D3" s="4">
        <v>0</v>
      </c>
      <c r="E3" s="4">
        <v>29.000000000000004</v>
      </c>
      <c r="F3" s="4">
        <v>29.000000000000004</v>
      </c>
      <c r="H3" s="68">
        <f t="shared" ref="H3:H66" si="0">IFERROR(E3/F3,0)</f>
        <v>1</v>
      </c>
    </row>
    <row r="4" spans="1:8" x14ac:dyDescent="0.2">
      <c r="A4" s="6">
        <v>3</v>
      </c>
      <c r="B4" s="1" t="s">
        <v>4</v>
      </c>
      <c r="C4" s="1" t="s">
        <v>25</v>
      </c>
      <c r="D4" s="4">
        <v>313.8</v>
      </c>
      <c r="E4" s="4">
        <v>41.3</v>
      </c>
      <c r="F4" s="4">
        <v>355.1</v>
      </c>
      <c r="H4" s="68">
        <f t="shared" si="0"/>
        <v>0.11630526612221907</v>
      </c>
    </row>
    <row r="5" spans="1:8" x14ac:dyDescent="0.2">
      <c r="A5" s="6">
        <v>4</v>
      </c>
      <c r="B5" s="1" t="s">
        <v>4</v>
      </c>
      <c r="C5" s="1" t="s">
        <v>26</v>
      </c>
      <c r="D5" s="4">
        <v>116.5</v>
      </c>
      <c r="E5" s="4">
        <v>7.8</v>
      </c>
      <c r="F5" s="4">
        <v>124.3</v>
      </c>
      <c r="H5" s="68">
        <f t="shared" si="0"/>
        <v>6.2751407884151247E-2</v>
      </c>
    </row>
    <row r="6" spans="1:8" x14ac:dyDescent="0.2">
      <c r="A6" s="6">
        <v>5</v>
      </c>
      <c r="B6" s="1" t="s">
        <v>4</v>
      </c>
      <c r="C6" s="1" t="s">
        <v>27</v>
      </c>
      <c r="D6" s="4">
        <v>1579.8999999999996</v>
      </c>
      <c r="E6" s="4">
        <v>67</v>
      </c>
      <c r="F6" s="4">
        <v>1646.8999999999996</v>
      </c>
      <c r="H6" s="68">
        <f t="shared" si="0"/>
        <v>4.0682494383386981E-2</v>
      </c>
    </row>
    <row r="7" spans="1:8" x14ac:dyDescent="0.2">
      <c r="A7" s="6">
        <v>6</v>
      </c>
      <c r="B7" s="1" t="s">
        <v>4</v>
      </c>
      <c r="C7" s="1" t="s">
        <v>28</v>
      </c>
      <c r="D7" s="4">
        <v>0</v>
      </c>
      <c r="E7" s="4">
        <v>0</v>
      </c>
      <c r="F7" s="4">
        <v>0</v>
      </c>
      <c r="H7" s="68">
        <f t="shared" si="0"/>
        <v>0</v>
      </c>
    </row>
    <row r="8" spans="1:8" x14ac:dyDescent="0.2">
      <c r="A8" s="6">
        <v>7</v>
      </c>
      <c r="B8" s="1" t="s">
        <v>4</v>
      </c>
      <c r="C8" s="1" t="s">
        <v>29</v>
      </c>
      <c r="D8" s="4">
        <v>171.50000000000068</v>
      </c>
      <c r="E8" s="4">
        <v>57.600000000000044</v>
      </c>
      <c r="F8" s="4">
        <v>229.10000000000073</v>
      </c>
      <c r="H8" s="68">
        <f t="shared" si="0"/>
        <v>0.25141859450021764</v>
      </c>
    </row>
    <row r="9" spans="1:8" x14ac:dyDescent="0.2">
      <c r="A9" s="6">
        <v>8</v>
      </c>
      <c r="B9" s="1" t="s">
        <v>4</v>
      </c>
      <c r="C9" s="1" t="s">
        <v>30</v>
      </c>
      <c r="D9" s="4">
        <v>2718.1</v>
      </c>
      <c r="E9" s="4">
        <v>36.400000000000006</v>
      </c>
      <c r="F9" s="4">
        <v>2754.5</v>
      </c>
      <c r="H9" s="68">
        <f t="shared" si="0"/>
        <v>1.321473951715375E-2</v>
      </c>
    </row>
    <row r="10" spans="1:8" x14ac:dyDescent="0.2">
      <c r="A10" s="6">
        <v>9</v>
      </c>
      <c r="B10" s="1" t="s">
        <v>4</v>
      </c>
      <c r="C10" s="1" t="s">
        <v>31</v>
      </c>
      <c r="D10" s="4">
        <v>52.900000000000006</v>
      </c>
      <c r="E10" s="4">
        <v>1.5</v>
      </c>
      <c r="F10" s="4">
        <v>54.400000000000006</v>
      </c>
      <c r="H10" s="68">
        <f t="shared" si="0"/>
        <v>2.7573529411764702E-2</v>
      </c>
    </row>
    <row r="11" spans="1:8" x14ac:dyDescent="0.2">
      <c r="A11" s="7">
        <v>10</v>
      </c>
      <c r="B11" s="8" t="s">
        <v>4</v>
      </c>
      <c r="C11" s="8" t="s">
        <v>32</v>
      </c>
      <c r="D11" s="9">
        <v>24207.699999999997</v>
      </c>
      <c r="E11" s="9">
        <v>2218.2999999999997</v>
      </c>
      <c r="F11" s="9">
        <v>26425.999999999996</v>
      </c>
      <c r="H11" s="68">
        <f t="shared" si="0"/>
        <v>8.3943843184742295E-2</v>
      </c>
    </row>
    <row r="12" spans="1:8" x14ac:dyDescent="0.2">
      <c r="A12" s="6">
        <v>11</v>
      </c>
      <c r="B12" s="1" t="s">
        <v>4</v>
      </c>
      <c r="C12" s="1" t="s">
        <v>33</v>
      </c>
      <c r="D12" s="4">
        <v>0.39856857315029148</v>
      </c>
      <c r="E12" s="4">
        <v>8.4474807596373158E-2</v>
      </c>
      <c r="F12" s="4">
        <v>0.30375934664038207</v>
      </c>
      <c r="H12" s="68">
        <f t="shared" si="0"/>
        <v>0.27809780515620519</v>
      </c>
    </row>
    <row r="13" spans="1:8" x14ac:dyDescent="0.2">
      <c r="A13" s="6">
        <v>12</v>
      </c>
      <c r="B13" s="1" t="s">
        <v>4</v>
      </c>
      <c r="C13" s="1" t="s">
        <v>34</v>
      </c>
      <c r="D13" s="4">
        <v>0</v>
      </c>
      <c r="E13" s="4">
        <v>8.1999999999999993</v>
      </c>
      <c r="F13" s="4">
        <v>8.1999999999999993</v>
      </c>
      <c r="H13" s="68">
        <f t="shared" si="0"/>
        <v>1</v>
      </c>
    </row>
    <row r="14" spans="1:8" x14ac:dyDescent="0.2">
      <c r="A14" s="6">
        <v>13</v>
      </c>
      <c r="B14" s="1" t="s">
        <v>4</v>
      </c>
      <c r="C14" s="1" t="s">
        <v>35</v>
      </c>
      <c r="D14" s="4">
        <v>-14.3</v>
      </c>
      <c r="E14" s="4">
        <v>350.09999999999997</v>
      </c>
      <c r="F14" s="4">
        <v>335.79999999999995</v>
      </c>
      <c r="H14" s="68">
        <f t="shared" si="0"/>
        <v>1.0425848719475879</v>
      </c>
    </row>
    <row r="15" spans="1:8" x14ac:dyDescent="0.2">
      <c r="A15" s="6">
        <v>14</v>
      </c>
      <c r="B15" s="1" t="s">
        <v>4</v>
      </c>
      <c r="C15" s="1" t="s">
        <v>36</v>
      </c>
      <c r="D15" s="4">
        <v>0</v>
      </c>
      <c r="E15" s="4">
        <v>0</v>
      </c>
      <c r="F15" s="4">
        <v>0</v>
      </c>
      <c r="H15" s="68">
        <f t="shared" si="0"/>
        <v>0</v>
      </c>
    </row>
    <row r="16" spans="1:8" x14ac:dyDescent="0.2">
      <c r="A16" s="6">
        <v>15</v>
      </c>
      <c r="B16" s="1" t="s">
        <v>4</v>
      </c>
      <c r="C16" s="1" t="s">
        <v>37</v>
      </c>
      <c r="D16" s="4">
        <v>290.3</v>
      </c>
      <c r="E16" s="4">
        <v>348.3</v>
      </c>
      <c r="F16" s="4">
        <v>638.6</v>
      </c>
      <c r="H16" s="68">
        <f t="shared" si="0"/>
        <v>0.54541183839649232</v>
      </c>
    </row>
    <row r="17" spans="1:8" x14ac:dyDescent="0.2">
      <c r="A17" s="7">
        <v>16</v>
      </c>
      <c r="B17" s="8" t="s">
        <v>4</v>
      </c>
      <c r="C17" s="8" t="s">
        <v>38</v>
      </c>
      <c r="D17" s="9">
        <v>276</v>
      </c>
      <c r="E17" s="9">
        <v>706.59999999999991</v>
      </c>
      <c r="F17" s="9">
        <v>982.59999999999991</v>
      </c>
      <c r="H17" s="68">
        <f t="shared" si="0"/>
        <v>0.71911255851821698</v>
      </c>
    </row>
    <row r="18" spans="1:8" x14ac:dyDescent="0.2">
      <c r="A18" s="6">
        <v>17</v>
      </c>
      <c r="B18" s="1" t="s">
        <v>4</v>
      </c>
      <c r="C18" s="1" t="s">
        <v>33</v>
      </c>
      <c r="D18" s="4">
        <v>4.5442122212965485E-3</v>
      </c>
      <c r="E18" s="4">
        <v>2.6907947098046826E-2</v>
      </c>
      <c r="F18" s="4">
        <v>1.1294707258337979E-2</v>
      </c>
      <c r="H18" s="68">
        <f t="shared" si="0"/>
        <v>2.3823501116580812</v>
      </c>
    </row>
    <row r="19" spans="1:8" x14ac:dyDescent="0.2">
      <c r="A19" s="6">
        <v>18</v>
      </c>
      <c r="B19" s="1" t="s">
        <v>4</v>
      </c>
      <c r="C19" s="1" t="s">
        <v>39</v>
      </c>
      <c r="D19" s="4">
        <v>0</v>
      </c>
      <c r="E19" s="4">
        <v>0</v>
      </c>
      <c r="F19" s="4">
        <v>0</v>
      </c>
      <c r="H19" s="68">
        <f t="shared" si="0"/>
        <v>0</v>
      </c>
    </row>
    <row r="20" spans="1:8" x14ac:dyDescent="0.2">
      <c r="A20" s="6">
        <v>19</v>
      </c>
      <c r="B20" s="1" t="s">
        <v>4</v>
      </c>
      <c r="C20" s="1" t="s">
        <v>40</v>
      </c>
      <c r="D20" s="4">
        <v>71.600000000000009</v>
      </c>
      <c r="E20" s="4">
        <v>1671.400000000001</v>
      </c>
      <c r="F20" s="4">
        <v>1743.0000000000009</v>
      </c>
      <c r="H20" s="68">
        <f t="shared" si="0"/>
        <v>0.95892139988525538</v>
      </c>
    </row>
    <row r="21" spans="1:8" x14ac:dyDescent="0.2">
      <c r="A21" s="6">
        <v>20</v>
      </c>
      <c r="B21" s="1" t="s">
        <v>4</v>
      </c>
      <c r="C21" s="1" t="s">
        <v>41</v>
      </c>
      <c r="D21" s="4">
        <v>0</v>
      </c>
      <c r="E21" s="4">
        <v>0</v>
      </c>
      <c r="F21" s="4">
        <v>0</v>
      </c>
      <c r="H21" s="68">
        <f t="shared" si="0"/>
        <v>0</v>
      </c>
    </row>
    <row r="22" spans="1:8" x14ac:dyDescent="0.2">
      <c r="A22" s="6">
        <v>21</v>
      </c>
      <c r="B22" s="1" t="s">
        <v>4</v>
      </c>
      <c r="C22" s="1" t="s">
        <v>42</v>
      </c>
      <c r="D22" s="4">
        <v>11.5</v>
      </c>
      <c r="E22" s="4">
        <v>316.40000000000009</v>
      </c>
      <c r="F22" s="4">
        <v>327.90000000000009</v>
      </c>
      <c r="H22" s="68">
        <f t="shared" si="0"/>
        <v>0.96492833180847826</v>
      </c>
    </row>
    <row r="23" spans="1:8" x14ac:dyDescent="0.2">
      <c r="A23" s="6">
        <v>22</v>
      </c>
      <c r="B23" s="1" t="s">
        <v>4</v>
      </c>
      <c r="C23" s="1" t="s">
        <v>43</v>
      </c>
      <c r="D23" s="4">
        <v>0</v>
      </c>
      <c r="E23" s="4">
        <v>0</v>
      </c>
      <c r="F23" s="4">
        <v>0</v>
      </c>
      <c r="H23" s="68">
        <f t="shared" si="0"/>
        <v>0</v>
      </c>
    </row>
    <row r="24" spans="1:8" x14ac:dyDescent="0.2">
      <c r="A24" s="6">
        <v>23</v>
      </c>
      <c r="B24" s="1" t="s">
        <v>4</v>
      </c>
      <c r="C24" s="1" t="s">
        <v>44</v>
      </c>
      <c r="D24" s="4">
        <v>0</v>
      </c>
      <c r="E24" s="4">
        <v>0</v>
      </c>
      <c r="F24" s="4">
        <v>0</v>
      </c>
      <c r="H24" s="68">
        <f t="shared" si="0"/>
        <v>0</v>
      </c>
    </row>
    <row r="25" spans="1:8" x14ac:dyDescent="0.2">
      <c r="A25" s="7">
        <v>24</v>
      </c>
      <c r="B25" s="8" t="s">
        <v>4</v>
      </c>
      <c r="C25" s="8" t="s">
        <v>45</v>
      </c>
      <c r="D25" s="9">
        <v>83.100000000000009</v>
      </c>
      <c r="E25" s="9">
        <v>1987.8000000000011</v>
      </c>
      <c r="F25" s="9">
        <v>2070.900000000001</v>
      </c>
      <c r="H25" s="68">
        <f t="shared" si="0"/>
        <v>0.95987251919455319</v>
      </c>
    </row>
    <row r="26" spans="1:8" x14ac:dyDescent="0.2">
      <c r="A26" s="6">
        <v>25</v>
      </c>
      <c r="B26" s="1" t="s">
        <v>4</v>
      </c>
      <c r="C26" s="1" t="s">
        <v>33</v>
      </c>
      <c r="D26" s="4">
        <v>1.3682030274990698E-3</v>
      </c>
      <c r="E26" s="4">
        <v>7.5697165640387087E-2</v>
      </c>
      <c r="F26" s="4">
        <v>2.3804405924376281E-2</v>
      </c>
      <c r="H26" s="68">
        <f t="shared" si="0"/>
        <v>3.1799644940045062</v>
      </c>
    </row>
    <row r="27" spans="1:8" x14ac:dyDescent="0.2">
      <c r="A27" s="6">
        <v>26</v>
      </c>
      <c r="B27" s="1" t="s">
        <v>4</v>
      </c>
      <c r="C27" s="1" t="s">
        <v>46</v>
      </c>
      <c r="D27" s="4">
        <v>2790.1000000000013</v>
      </c>
      <c r="E27" s="4">
        <v>50.6</v>
      </c>
      <c r="F27" s="4">
        <v>2840.7000000000012</v>
      </c>
      <c r="H27" s="68">
        <f t="shared" si="0"/>
        <v>1.7812511000809654E-2</v>
      </c>
    </row>
    <row r="28" spans="1:8" x14ac:dyDescent="0.2">
      <c r="A28" s="6">
        <v>27</v>
      </c>
      <c r="B28" s="1" t="s">
        <v>4</v>
      </c>
      <c r="C28" s="1" t="s">
        <v>47</v>
      </c>
      <c r="D28" s="4">
        <v>1872</v>
      </c>
      <c r="E28" s="4">
        <v>154.99999999999997</v>
      </c>
      <c r="F28" s="4">
        <v>2027</v>
      </c>
      <c r="H28" s="68">
        <f t="shared" si="0"/>
        <v>7.6467686235816457E-2</v>
      </c>
    </row>
    <row r="29" spans="1:8" x14ac:dyDescent="0.2">
      <c r="A29" s="6">
        <v>28</v>
      </c>
      <c r="B29" s="1" t="s">
        <v>4</v>
      </c>
      <c r="C29" s="1" t="s">
        <v>48</v>
      </c>
      <c r="D29" s="4">
        <v>0</v>
      </c>
      <c r="E29" s="4">
        <v>0</v>
      </c>
      <c r="F29" s="4">
        <v>0</v>
      </c>
      <c r="H29" s="68">
        <f t="shared" si="0"/>
        <v>0</v>
      </c>
    </row>
    <row r="30" spans="1:8" x14ac:dyDescent="0.2">
      <c r="A30" s="6">
        <v>29</v>
      </c>
      <c r="B30" s="1" t="s">
        <v>4</v>
      </c>
      <c r="C30" s="1" t="s">
        <v>49</v>
      </c>
      <c r="D30" s="4">
        <v>0</v>
      </c>
      <c r="E30" s="4">
        <v>0</v>
      </c>
      <c r="F30" s="4">
        <v>0</v>
      </c>
      <c r="H30" s="68">
        <f t="shared" si="0"/>
        <v>0</v>
      </c>
    </row>
    <row r="31" spans="1:8" x14ac:dyDescent="0.2">
      <c r="A31" s="6">
        <v>30</v>
      </c>
      <c r="B31" s="1" t="s">
        <v>4</v>
      </c>
      <c r="C31" s="1" t="s">
        <v>50</v>
      </c>
      <c r="D31" s="4">
        <v>0</v>
      </c>
      <c r="E31" s="4">
        <v>79</v>
      </c>
      <c r="F31" s="4">
        <v>79</v>
      </c>
      <c r="H31" s="68">
        <f t="shared" si="0"/>
        <v>1</v>
      </c>
    </row>
    <row r="32" spans="1:8" x14ac:dyDescent="0.2">
      <c r="A32" s="7">
        <v>31</v>
      </c>
      <c r="B32" s="8" t="s">
        <v>4</v>
      </c>
      <c r="C32" s="8" t="s">
        <v>51</v>
      </c>
      <c r="D32" s="9">
        <v>4662.1000000000013</v>
      </c>
      <c r="E32" s="9">
        <v>284.59999999999997</v>
      </c>
      <c r="F32" s="9">
        <v>4946.7000000000016</v>
      </c>
      <c r="H32" s="68">
        <f t="shared" si="0"/>
        <v>5.7533305031637227E-2</v>
      </c>
    </row>
    <row r="33" spans="1:8" x14ac:dyDescent="0.2">
      <c r="A33" s="6">
        <v>32</v>
      </c>
      <c r="B33" s="1" t="s">
        <v>4</v>
      </c>
      <c r="C33" s="1" t="s">
        <v>33</v>
      </c>
      <c r="D33" s="4">
        <v>7.6759318104734228E-2</v>
      </c>
      <c r="E33" s="4">
        <v>1.0837817356501736E-2</v>
      </c>
      <c r="F33" s="4">
        <v>5.6860908197456241E-2</v>
      </c>
      <c r="H33" s="68">
        <f t="shared" si="0"/>
        <v>0.19060225557541449</v>
      </c>
    </row>
    <row r="34" spans="1:8" x14ac:dyDescent="0.2">
      <c r="A34" s="6">
        <v>33</v>
      </c>
      <c r="B34" s="1" t="s">
        <v>4</v>
      </c>
      <c r="C34" s="1" t="s">
        <v>52</v>
      </c>
      <c r="D34" s="4">
        <v>146.4</v>
      </c>
      <c r="E34" s="4">
        <v>314.8</v>
      </c>
      <c r="F34" s="4">
        <v>461.20000000000005</v>
      </c>
      <c r="H34" s="68">
        <f t="shared" si="0"/>
        <v>0.68256721595836944</v>
      </c>
    </row>
    <row r="35" spans="1:8" x14ac:dyDescent="0.2">
      <c r="A35" s="6">
        <v>34</v>
      </c>
      <c r="B35" s="1" t="s">
        <v>4</v>
      </c>
      <c r="C35" s="1" t="s">
        <v>53</v>
      </c>
      <c r="D35" s="4">
        <v>-4.5</v>
      </c>
      <c r="E35" s="4">
        <v>369.9</v>
      </c>
      <c r="F35" s="4">
        <v>365.4</v>
      </c>
      <c r="H35" s="68">
        <f t="shared" si="0"/>
        <v>1.0123152709359606</v>
      </c>
    </row>
    <row r="36" spans="1:8" x14ac:dyDescent="0.2">
      <c r="A36" s="6">
        <v>35</v>
      </c>
      <c r="B36" s="1" t="s">
        <v>4</v>
      </c>
      <c r="C36" s="1" t="s">
        <v>54</v>
      </c>
      <c r="D36" s="4">
        <v>245.80000000000004</v>
      </c>
      <c r="E36" s="4">
        <v>4.5</v>
      </c>
      <c r="F36" s="4">
        <v>250.30000000000004</v>
      </c>
      <c r="H36" s="68">
        <f t="shared" si="0"/>
        <v>1.7978425888933277E-2</v>
      </c>
    </row>
    <row r="37" spans="1:8" x14ac:dyDescent="0.2">
      <c r="A37" s="6">
        <v>36</v>
      </c>
      <c r="B37" s="1" t="s">
        <v>4</v>
      </c>
      <c r="C37" s="1" t="s">
        <v>55</v>
      </c>
      <c r="D37" s="4">
        <v>560.20000000000005</v>
      </c>
      <c r="E37" s="4">
        <v>20.299999999999997</v>
      </c>
      <c r="F37" s="4">
        <v>580.5</v>
      </c>
      <c r="H37" s="68">
        <f t="shared" si="0"/>
        <v>3.4969853574504731E-2</v>
      </c>
    </row>
    <row r="38" spans="1:8" x14ac:dyDescent="0.2">
      <c r="A38" s="6">
        <v>37</v>
      </c>
      <c r="B38" s="1" t="s">
        <v>4</v>
      </c>
      <c r="C38" s="1" t="s">
        <v>56</v>
      </c>
      <c r="D38" s="4">
        <v>1214.9000000000001</v>
      </c>
      <c r="E38" s="4">
        <v>8882.2999999999993</v>
      </c>
      <c r="F38" s="4">
        <v>10097.199999999999</v>
      </c>
      <c r="H38" s="68">
        <f t="shared" si="0"/>
        <v>0.87967951511310072</v>
      </c>
    </row>
    <row r="39" spans="1:8" x14ac:dyDescent="0.2">
      <c r="A39" s="6">
        <v>38</v>
      </c>
      <c r="B39" s="1" t="s">
        <v>4</v>
      </c>
      <c r="C39" s="1" t="s">
        <v>57</v>
      </c>
      <c r="D39" s="4">
        <v>3370.0999999999981</v>
      </c>
      <c r="E39" s="4">
        <v>4043</v>
      </c>
      <c r="F39" s="4">
        <v>7413.0999999999985</v>
      </c>
      <c r="H39" s="68">
        <f t="shared" si="0"/>
        <v>0.54538587095816871</v>
      </c>
    </row>
    <row r="40" spans="1:8" x14ac:dyDescent="0.2">
      <c r="A40" s="6">
        <v>39</v>
      </c>
      <c r="B40" s="1" t="s">
        <v>4</v>
      </c>
      <c r="C40" s="1" t="s">
        <v>58</v>
      </c>
      <c r="D40" s="4">
        <v>570.9</v>
      </c>
      <c r="E40" s="4">
        <v>2171.8000000000006</v>
      </c>
      <c r="F40" s="4">
        <v>2742.7000000000007</v>
      </c>
      <c r="H40" s="68">
        <f t="shared" si="0"/>
        <v>0.79184744959346631</v>
      </c>
    </row>
    <row r="41" spans="1:8" x14ac:dyDescent="0.2">
      <c r="A41" s="7">
        <v>40</v>
      </c>
      <c r="B41" s="8" t="s">
        <v>4</v>
      </c>
      <c r="C41" s="8" t="s">
        <v>59</v>
      </c>
      <c r="D41" s="9">
        <v>6103.7999999999975</v>
      </c>
      <c r="E41" s="9">
        <v>15806.6</v>
      </c>
      <c r="F41" s="9">
        <v>21910.399999999998</v>
      </c>
      <c r="H41" s="68">
        <f t="shared" si="0"/>
        <v>0.72141996494815253</v>
      </c>
    </row>
    <row r="42" spans="1:8" x14ac:dyDescent="0.2">
      <c r="A42" s="6">
        <v>41</v>
      </c>
      <c r="B42" s="1" t="s">
        <v>4</v>
      </c>
      <c r="C42" s="1" t="s">
        <v>33</v>
      </c>
      <c r="D42" s="4">
        <v>0.10049624114619515</v>
      </c>
      <c r="E42" s="4">
        <v>0.60192917718650873</v>
      </c>
      <c r="F42" s="4">
        <v>0.25185381021075559</v>
      </c>
      <c r="H42" s="68">
        <f t="shared" si="0"/>
        <v>2.3899943252111377</v>
      </c>
    </row>
    <row r="43" spans="1:8" x14ac:dyDescent="0.2">
      <c r="A43" s="6">
        <v>42</v>
      </c>
      <c r="B43" s="1" t="s">
        <v>4</v>
      </c>
      <c r="C43" s="1" t="s">
        <v>60</v>
      </c>
      <c r="D43" s="4">
        <v>4812.7000000000025</v>
      </c>
      <c r="E43" s="4">
        <v>56.099999999999987</v>
      </c>
      <c r="F43" s="4">
        <v>4868.8000000000029</v>
      </c>
      <c r="H43" s="68">
        <f t="shared" si="0"/>
        <v>1.1522346368715075E-2</v>
      </c>
    </row>
    <row r="44" spans="1:8" x14ac:dyDescent="0.2">
      <c r="A44" s="6">
        <v>43</v>
      </c>
      <c r="B44" s="1" t="s">
        <v>4</v>
      </c>
      <c r="C44" s="1" t="s">
        <v>61</v>
      </c>
      <c r="D44" s="4">
        <v>1780.1</v>
      </c>
      <c r="E44" s="4">
        <v>159.5</v>
      </c>
      <c r="F44" s="4">
        <v>1939.6</v>
      </c>
      <c r="H44" s="68">
        <f t="shared" si="0"/>
        <v>8.2233450195916685E-2</v>
      </c>
    </row>
    <row r="45" spans="1:8" x14ac:dyDescent="0.2">
      <c r="A45" s="6">
        <v>44</v>
      </c>
      <c r="B45" s="1" t="s">
        <v>4</v>
      </c>
      <c r="C45" s="1" t="s">
        <v>62</v>
      </c>
      <c r="D45" s="4">
        <v>2879.7000000000007</v>
      </c>
      <c r="E45" s="4">
        <v>77.700000000000017</v>
      </c>
      <c r="F45" s="4">
        <v>2957.4000000000005</v>
      </c>
      <c r="H45" s="68">
        <f t="shared" si="0"/>
        <v>2.627307770338811E-2</v>
      </c>
    </row>
    <row r="46" spans="1:8" x14ac:dyDescent="0.2">
      <c r="A46" s="6">
        <v>45</v>
      </c>
      <c r="B46" s="1" t="s">
        <v>4</v>
      </c>
      <c r="C46" s="1" t="s">
        <v>63</v>
      </c>
      <c r="D46" s="4">
        <v>0</v>
      </c>
      <c r="E46" s="4">
        <v>0</v>
      </c>
      <c r="F46" s="4">
        <v>0</v>
      </c>
      <c r="H46" s="68">
        <f t="shared" si="0"/>
        <v>0</v>
      </c>
    </row>
    <row r="47" spans="1:8" x14ac:dyDescent="0.2">
      <c r="A47" s="6">
        <v>46</v>
      </c>
      <c r="B47" s="1" t="s">
        <v>4</v>
      </c>
      <c r="C47" s="1" t="s">
        <v>64</v>
      </c>
      <c r="D47" s="4">
        <v>1681.0999999999997</v>
      </c>
      <c r="E47" s="4">
        <v>20.9</v>
      </c>
      <c r="F47" s="4">
        <v>1701.9999999999998</v>
      </c>
      <c r="H47" s="68">
        <f t="shared" si="0"/>
        <v>1.227967097532315E-2</v>
      </c>
    </row>
    <row r="48" spans="1:8" x14ac:dyDescent="0.2">
      <c r="A48" s="7">
        <v>47</v>
      </c>
      <c r="B48" s="8" t="s">
        <v>4</v>
      </c>
      <c r="C48" s="8" t="s">
        <v>65</v>
      </c>
      <c r="D48" s="9">
        <v>11153.600000000004</v>
      </c>
      <c r="E48" s="9">
        <v>314.2</v>
      </c>
      <c r="F48" s="9">
        <v>11467.800000000005</v>
      </c>
      <c r="H48" s="68">
        <f t="shared" si="0"/>
        <v>2.7398454803885652E-2</v>
      </c>
    </row>
    <row r="49" spans="1:8" x14ac:dyDescent="0.2">
      <c r="A49" s="6">
        <v>48</v>
      </c>
      <c r="B49" s="1" t="s">
        <v>4</v>
      </c>
      <c r="C49" s="1" t="s">
        <v>33</v>
      </c>
      <c r="D49" s="4">
        <v>0.18363886025888843</v>
      </c>
      <c r="E49" s="4">
        <v>1.1965011290979781E-2</v>
      </c>
      <c r="F49" s="4">
        <v>0.13181909617053564</v>
      </c>
      <c r="H49" s="68">
        <f t="shared" si="0"/>
        <v>9.0768421560868021E-2</v>
      </c>
    </row>
    <row r="50" spans="1:8" x14ac:dyDescent="0.2">
      <c r="A50" s="6">
        <v>49</v>
      </c>
      <c r="B50" s="1" t="s">
        <v>4</v>
      </c>
      <c r="C50" s="1" t="s">
        <v>66</v>
      </c>
      <c r="D50" s="4">
        <v>386.9</v>
      </c>
      <c r="E50" s="4">
        <v>2.7</v>
      </c>
      <c r="F50" s="4">
        <v>389.59999999999997</v>
      </c>
      <c r="H50" s="68">
        <f t="shared" si="0"/>
        <v>6.9301848049281327E-3</v>
      </c>
    </row>
    <row r="51" spans="1:8" x14ac:dyDescent="0.2">
      <c r="A51" s="6">
        <v>50</v>
      </c>
      <c r="B51" s="1" t="s">
        <v>4</v>
      </c>
      <c r="C51" s="1" t="s">
        <v>67</v>
      </c>
      <c r="D51" s="4">
        <v>1058.7999999999997</v>
      </c>
      <c r="E51" s="4">
        <v>264.2000000000001</v>
      </c>
      <c r="F51" s="4">
        <v>1322.9999999999998</v>
      </c>
      <c r="H51" s="68">
        <f t="shared" si="0"/>
        <v>0.1996976568405141</v>
      </c>
    </row>
    <row r="52" spans="1:8" x14ac:dyDescent="0.2">
      <c r="A52" s="6">
        <v>51</v>
      </c>
      <c r="B52" s="1" t="s">
        <v>4</v>
      </c>
      <c r="C52" s="1" t="s">
        <v>68</v>
      </c>
      <c r="D52" s="4">
        <v>1168.8000000000004</v>
      </c>
      <c r="E52" s="4">
        <v>375.79999999999995</v>
      </c>
      <c r="F52" s="4">
        <v>1544.6000000000004</v>
      </c>
      <c r="H52" s="68">
        <f t="shared" si="0"/>
        <v>0.24329923604816772</v>
      </c>
    </row>
    <row r="53" spans="1:8" x14ac:dyDescent="0.2">
      <c r="A53" s="6">
        <v>52</v>
      </c>
      <c r="B53" s="1" t="s">
        <v>4</v>
      </c>
      <c r="C53" s="1" t="s">
        <v>69</v>
      </c>
      <c r="D53" s="4">
        <v>509.90000000000026</v>
      </c>
      <c r="E53" s="4">
        <v>256.09999999999997</v>
      </c>
      <c r="F53" s="4">
        <v>766.00000000000023</v>
      </c>
      <c r="H53" s="68">
        <f t="shared" si="0"/>
        <v>0.33433420365535232</v>
      </c>
    </row>
    <row r="54" spans="1:8" x14ac:dyDescent="0.2">
      <c r="A54" s="6">
        <v>53</v>
      </c>
      <c r="B54" s="1" t="s">
        <v>4</v>
      </c>
      <c r="C54" s="1" t="s">
        <v>70</v>
      </c>
      <c r="D54" s="4">
        <v>2510.3000000000002</v>
      </c>
      <c r="E54" s="4">
        <v>402.5</v>
      </c>
      <c r="F54" s="4">
        <v>2912.8</v>
      </c>
      <c r="H54" s="68">
        <f t="shared" si="0"/>
        <v>0.13818319143092556</v>
      </c>
    </row>
    <row r="55" spans="1:8" x14ac:dyDescent="0.2">
      <c r="A55" s="6">
        <v>54</v>
      </c>
      <c r="B55" s="1" t="s">
        <v>4</v>
      </c>
      <c r="C55" s="1" t="s">
        <v>71</v>
      </c>
      <c r="D55" s="4">
        <v>0</v>
      </c>
      <c r="E55" s="4">
        <v>0</v>
      </c>
      <c r="F55" s="4">
        <v>0</v>
      </c>
      <c r="H55" s="68">
        <f t="shared" si="0"/>
        <v>0</v>
      </c>
    </row>
    <row r="56" spans="1:8" x14ac:dyDescent="0.2">
      <c r="A56" s="6">
        <v>55</v>
      </c>
      <c r="B56" s="1" t="s">
        <v>4</v>
      </c>
      <c r="C56" s="1" t="s">
        <v>72</v>
      </c>
      <c r="D56" s="4">
        <v>2263.6</v>
      </c>
      <c r="E56" s="4">
        <v>18</v>
      </c>
      <c r="F56" s="4">
        <v>2281.6</v>
      </c>
      <c r="H56" s="68">
        <f t="shared" si="0"/>
        <v>7.8892005610098175E-3</v>
      </c>
    </row>
    <row r="57" spans="1:8" x14ac:dyDescent="0.2">
      <c r="A57" s="6">
        <v>56</v>
      </c>
      <c r="B57" s="1" t="s">
        <v>4</v>
      </c>
      <c r="C57" s="1" t="s">
        <v>73</v>
      </c>
      <c r="D57" s="4">
        <v>69</v>
      </c>
      <c r="E57" s="4">
        <v>0</v>
      </c>
      <c r="F57" s="4">
        <v>69</v>
      </c>
      <c r="H57" s="68">
        <f t="shared" si="0"/>
        <v>0</v>
      </c>
    </row>
    <row r="58" spans="1:8" x14ac:dyDescent="0.2">
      <c r="A58" s="6">
        <v>57</v>
      </c>
      <c r="B58" s="1" t="s">
        <v>4</v>
      </c>
      <c r="C58" s="1" t="s">
        <v>74</v>
      </c>
      <c r="D58" s="4">
        <v>2987.1000000000008</v>
      </c>
      <c r="E58" s="4">
        <v>40.799999999999997</v>
      </c>
      <c r="F58" s="4">
        <v>3027.900000000001</v>
      </c>
      <c r="H58" s="68">
        <f t="shared" si="0"/>
        <v>1.347468542554245E-2</v>
      </c>
    </row>
    <row r="59" spans="1:8" x14ac:dyDescent="0.2">
      <c r="A59" s="6">
        <v>58</v>
      </c>
      <c r="B59" s="1" t="s">
        <v>4</v>
      </c>
      <c r="C59" s="1" t="s">
        <v>75</v>
      </c>
      <c r="D59" s="4">
        <v>0</v>
      </c>
      <c r="E59" s="4">
        <v>0</v>
      </c>
      <c r="F59" s="4">
        <v>0</v>
      </c>
      <c r="H59" s="68">
        <f t="shared" si="0"/>
        <v>0</v>
      </c>
    </row>
    <row r="60" spans="1:8" x14ac:dyDescent="0.2">
      <c r="A60" s="6">
        <v>59</v>
      </c>
      <c r="B60" s="1" t="s">
        <v>4</v>
      </c>
      <c r="C60" s="1" t="s">
        <v>76</v>
      </c>
      <c r="D60" s="4">
        <v>26.5</v>
      </c>
      <c r="E60" s="4">
        <v>1.1000000000000001</v>
      </c>
      <c r="F60" s="4">
        <v>27.6</v>
      </c>
      <c r="H60" s="68">
        <f t="shared" si="0"/>
        <v>3.9855072463768119E-2</v>
      </c>
    </row>
    <row r="61" spans="1:8" x14ac:dyDescent="0.2">
      <c r="A61" s="6">
        <v>60</v>
      </c>
      <c r="B61" s="1" t="s">
        <v>4</v>
      </c>
      <c r="C61" s="1" t="s">
        <v>77</v>
      </c>
      <c r="D61" s="4">
        <v>272</v>
      </c>
      <c r="E61" s="4">
        <v>0</v>
      </c>
      <c r="F61" s="4">
        <v>272</v>
      </c>
      <c r="H61" s="68">
        <f t="shared" si="0"/>
        <v>0</v>
      </c>
    </row>
    <row r="62" spans="1:8" x14ac:dyDescent="0.2">
      <c r="A62" s="6">
        <v>61</v>
      </c>
      <c r="B62" s="1" t="s">
        <v>4</v>
      </c>
      <c r="C62" s="1" t="s">
        <v>78</v>
      </c>
      <c r="D62" s="4">
        <v>309.60000000000002</v>
      </c>
      <c r="E62" s="4">
        <v>0</v>
      </c>
      <c r="F62" s="4">
        <v>309.60000000000002</v>
      </c>
      <c r="H62" s="68">
        <f t="shared" si="0"/>
        <v>0</v>
      </c>
    </row>
    <row r="63" spans="1:8" x14ac:dyDescent="0.2">
      <c r="A63" s="7">
        <v>62</v>
      </c>
      <c r="B63" s="8" t="s">
        <v>4</v>
      </c>
      <c r="C63" s="8" t="s">
        <v>79</v>
      </c>
      <c r="D63" s="9">
        <v>11562.500000000002</v>
      </c>
      <c r="E63" s="9">
        <v>1361.1999999999998</v>
      </c>
      <c r="F63" s="9">
        <v>12923.7</v>
      </c>
      <c r="H63" s="68">
        <f t="shared" si="0"/>
        <v>0.10532587416916206</v>
      </c>
    </row>
    <row r="64" spans="1:8" hidden="1" x14ac:dyDescent="0.2">
      <c r="A64" s="6">
        <v>63</v>
      </c>
      <c r="B64" s="1" t="s">
        <v>4</v>
      </c>
      <c r="C64" s="1" t="s">
        <v>33</v>
      </c>
      <c r="D64" s="4">
        <v>0.19037120945196143</v>
      </c>
      <c r="E64" s="4">
        <v>5.1835688635524117E-2</v>
      </c>
      <c r="F64" s="4">
        <v>0.14855425218255908</v>
      </c>
      <c r="H64" s="68">
        <f t="shared" si="0"/>
        <v>0.34893439853759944</v>
      </c>
    </row>
    <row r="65" spans="1:8" hidden="1" x14ac:dyDescent="0.2">
      <c r="A65" s="6">
        <v>64</v>
      </c>
      <c r="B65" s="1" t="s">
        <v>4</v>
      </c>
      <c r="C65" s="1" t="s">
        <v>80</v>
      </c>
      <c r="D65" s="4">
        <v>0</v>
      </c>
      <c r="E65" s="4">
        <v>661.4</v>
      </c>
      <c r="F65" s="4">
        <v>661.4</v>
      </c>
      <c r="H65" s="68">
        <f t="shared" si="0"/>
        <v>1</v>
      </c>
    </row>
    <row r="66" spans="1:8" hidden="1" x14ac:dyDescent="0.2">
      <c r="A66" s="6">
        <v>65</v>
      </c>
      <c r="B66" s="1" t="s">
        <v>4</v>
      </c>
      <c r="C66" s="1" t="s">
        <v>81</v>
      </c>
      <c r="D66" s="4">
        <v>597.20000000000005</v>
      </c>
      <c r="E66" s="4">
        <v>376.9</v>
      </c>
      <c r="F66" s="4">
        <v>974.1</v>
      </c>
      <c r="H66" s="68">
        <f t="shared" si="0"/>
        <v>0.38692126065085719</v>
      </c>
    </row>
    <row r="67" spans="1:8" hidden="1" x14ac:dyDescent="0.2">
      <c r="A67" s="6">
        <v>66</v>
      </c>
      <c r="B67" s="1" t="s">
        <v>4</v>
      </c>
      <c r="C67" s="1" t="s">
        <v>82</v>
      </c>
      <c r="D67" s="4">
        <v>0</v>
      </c>
      <c r="E67" s="4">
        <v>0</v>
      </c>
      <c r="F67" s="4">
        <v>0</v>
      </c>
      <c r="H67" s="68">
        <f t="shared" ref="H67:H130" si="1">IFERROR(E67/F67,0)</f>
        <v>0</v>
      </c>
    </row>
    <row r="68" spans="1:8" hidden="1" x14ac:dyDescent="0.2">
      <c r="A68" s="6">
        <v>67</v>
      </c>
      <c r="B68" s="1" t="s">
        <v>4</v>
      </c>
      <c r="C68" s="1" t="s">
        <v>83</v>
      </c>
      <c r="D68" s="4">
        <v>0</v>
      </c>
      <c r="E68" s="4">
        <v>1607.2</v>
      </c>
      <c r="F68" s="4">
        <v>1607.2</v>
      </c>
      <c r="H68" s="68">
        <f t="shared" si="1"/>
        <v>1</v>
      </c>
    </row>
    <row r="69" spans="1:8" hidden="1" x14ac:dyDescent="0.2">
      <c r="A69" s="6">
        <v>68</v>
      </c>
      <c r="B69" s="1" t="s">
        <v>4</v>
      </c>
      <c r="C69" s="1" t="s">
        <v>84</v>
      </c>
      <c r="D69" s="4">
        <v>465.69999999999993</v>
      </c>
      <c r="E69" s="4">
        <v>304.79999999999984</v>
      </c>
      <c r="F69" s="4">
        <v>770.49999999999977</v>
      </c>
      <c r="H69" s="68">
        <f t="shared" si="1"/>
        <v>0.39558728098637241</v>
      </c>
    </row>
    <row r="70" spans="1:8" hidden="1" x14ac:dyDescent="0.2">
      <c r="A70" s="6">
        <v>69</v>
      </c>
      <c r="B70" s="1" t="s">
        <v>4</v>
      </c>
      <c r="C70" s="1" t="s">
        <v>85</v>
      </c>
      <c r="D70" s="4">
        <v>0</v>
      </c>
      <c r="E70" s="4">
        <v>115.90000000000002</v>
      </c>
      <c r="F70" s="4">
        <v>115.90000000000002</v>
      </c>
      <c r="H70" s="68">
        <f t="shared" si="1"/>
        <v>1</v>
      </c>
    </row>
    <row r="71" spans="1:8" hidden="1" x14ac:dyDescent="0.2">
      <c r="A71" s="7">
        <v>70</v>
      </c>
      <c r="B71" s="8" t="s">
        <v>4</v>
      </c>
      <c r="C71" s="8" t="s">
        <v>86</v>
      </c>
      <c r="D71" s="9">
        <v>1062.9000000000001</v>
      </c>
      <c r="E71" s="9">
        <v>3066.2</v>
      </c>
      <c r="F71" s="9">
        <v>4129.1000000000004</v>
      </c>
      <c r="H71" s="68">
        <f t="shared" si="1"/>
        <v>0.74258312949553162</v>
      </c>
    </row>
    <row r="72" spans="1:8" hidden="1" x14ac:dyDescent="0.2">
      <c r="A72" s="6">
        <v>71</v>
      </c>
      <c r="B72" s="1" t="s">
        <v>4</v>
      </c>
      <c r="C72" s="1" t="s">
        <v>33</v>
      </c>
      <c r="D72" s="4">
        <v>1.7500156413101819E-2</v>
      </c>
      <c r="E72" s="4">
        <v>0.11676358249650606</v>
      </c>
      <c r="F72" s="4">
        <v>4.7462828964383627E-2</v>
      </c>
      <c r="H72" s="68">
        <f t="shared" si="1"/>
        <v>2.4601058353290766</v>
      </c>
    </row>
    <row r="73" spans="1:8" hidden="1" x14ac:dyDescent="0.2">
      <c r="A73" s="6">
        <v>72</v>
      </c>
      <c r="B73" s="1" t="s">
        <v>4</v>
      </c>
      <c r="C73" s="1" t="s">
        <v>87</v>
      </c>
      <c r="D73" s="4">
        <v>0</v>
      </c>
      <c r="E73" s="4">
        <v>0</v>
      </c>
      <c r="F73" s="4">
        <v>0</v>
      </c>
      <c r="H73" s="68">
        <f t="shared" si="1"/>
        <v>0</v>
      </c>
    </row>
    <row r="74" spans="1:8" hidden="1" x14ac:dyDescent="0.2">
      <c r="A74" s="6">
        <v>73</v>
      </c>
      <c r="B74" s="1" t="s">
        <v>4</v>
      </c>
      <c r="C74" s="1" t="s">
        <v>88</v>
      </c>
      <c r="D74" s="4">
        <v>0</v>
      </c>
      <c r="E74" s="4">
        <v>0</v>
      </c>
      <c r="F74" s="4">
        <v>0</v>
      </c>
      <c r="H74" s="68">
        <f t="shared" si="1"/>
        <v>0</v>
      </c>
    </row>
    <row r="75" spans="1:8" hidden="1" x14ac:dyDescent="0.2">
      <c r="A75" s="7">
        <v>74</v>
      </c>
      <c r="B75" s="8" t="s">
        <v>4</v>
      </c>
      <c r="C75" s="8" t="s">
        <v>89</v>
      </c>
      <c r="D75" s="9">
        <v>0</v>
      </c>
      <c r="E75" s="9">
        <v>0</v>
      </c>
      <c r="F75" s="9">
        <v>0</v>
      </c>
      <c r="H75" s="68">
        <f t="shared" si="1"/>
        <v>0</v>
      </c>
    </row>
    <row r="76" spans="1:8" hidden="1" x14ac:dyDescent="0.2">
      <c r="A76" s="6">
        <v>75</v>
      </c>
      <c r="B76" s="1" t="s">
        <v>4</v>
      </c>
      <c r="C76" s="1" t="s">
        <v>33</v>
      </c>
      <c r="D76" s="4">
        <v>0</v>
      </c>
      <c r="E76" s="4">
        <v>0</v>
      </c>
      <c r="F76" s="4">
        <v>0</v>
      </c>
      <c r="H76" s="68">
        <f t="shared" si="1"/>
        <v>0</v>
      </c>
    </row>
    <row r="77" spans="1:8" hidden="1" x14ac:dyDescent="0.2">
      <c r="A77" s="6">
        <v>76</v>
      </c>
      <c r="B77" s="1" t="s">
        <v>4</v>
      </c>
      <c r="C77" s="1" t="s">
        <v>90</v>
      </c>
      <c r="D77" s="4">
        <v>1025</v>
      </c>
      <c r="E77" s="4">
        <v>412.60000000000008</v>
      </c>
      <c r="F77" s="4">
        <v>1437.6000000000001</v>
      </c>
      <c r="H77" s="68">
        <f t="shared" si="1"/>
        <v>0.2870061213133</v>
      </c>
    </row>
    <row r="78" spans="1:8" hidden="1" x14ac:dyDescent="0.2">
      <c r="A78" s="6">
        <v>77</v>
      </c>
      <c r="B78" s="1" t="s">
        <v>4</v>
      </c>
      <c r="C78" s="1" t="s">
        <v>33</v>
      </c>
      <c r="D78" s="4">
        <v>1.6876150459525226E-2</v>
      </c>
      <c r="E78" s="4">
        <v>1.5712169505595987E-2</v>
      </c>
      <c r="F78" s="4">
        <v>1.6524802721948586E-2</v>
      </c>
      <c r="H78" s="68">
        <f t="shared" si="1"/>
        <v>0.95082342403560183</v>
      </c>
    </row>
    <row r="79" spans="1:8" hidden="1" x14ac:dyDescent="0.2">
      <c r="A79" s="6">
        <v>78</v>
      </c>
      <c r="B79" s="1" t="s">
        <v>4</v>
      </c>
      <c r="C79" s="1" t="s">
        <v>91</v>
      </c>
      <c r="D79" s="4">
        <v>599.9</v>
      </c>
      <c r="E79" s="4">
        <v>101.79999999999994</v>
      </c>
      <c r="F79" s="4">
        <v>701.69999999999993</v>
      </c>
      <c r="H79" s="68">
        <f t="shared" si="1"/>
        <v>0.1450762434088641</v>
      </c>
    </row>
    <row r="80" spans="1:8" hidden="1" x14ac:dyDescent="0.2">
      <c r="A80" s="6">
        <v>79</v>
      </c>
      <c r="B80" s="1" t="s">
        <v>4</v>
      </c>
      <c r="C80" s="1" t="s">
        <v>33</v>
      </c>
      <c r="D80" s="4">
        <v>9.8770757665065205E-3</v>
      </c>
      <c r="E80" s="4">
        <v>3.8766331935765155E-3</v>
      </c>
      <c r="F80" s="4">
        <v>8.0658417292649703E-3</v>
      </c>
      <c r="H80" s="68">
        <f t="shared" si="1"/>
        <v>0.48062351378791413</v>
      </c>
    </row>
    <row r="81" spans="1:8" x14ac:dyDescent="0.2">
      <c r="A81" s="10">
        <v>80</v>
      </c>
      <c r="B81" s="11" t="s">
        <v>4</v>
      </c>
      <c r="C81" s="11" t="s">
        <v>2</v>
      </c>
      <c r="D81" s="12">
        <v>60736.600000000006</v>
      </c>
      <c r="E81" s="12">
        <v>26259.9</v>
      </c>
      <c r="F81" s="12">
        <v>86996.5</v>
      </c>
      <c r="H81" s="68">
        <f t="shared" si="1"/>
        <v>0.3018500744282816</v>
      </c>
    </row>
    <row r="82" spans="1:8" x14ac:dyDescent="0.2">
      <c r="A82" s="6">
        <v>81</v>
      </c>
      <c r="B82" s="1" t="s">
        <v>5</v>
      </c>
      <c r="C82" s="1" t="s">
        <v>23</v>
      </c>
      <c r="D82" s="4">
        <v>36175.533490000002</v>
      </c>
      <c r="E82" s="4">
        <v>854.65556000000004</v>
      </c>
      <c r="F82" s="4">
        <v>37030.189050000001</v>
      </c>
      <c r="H82" s="68">
        <f t="shared" si="1"/>
        <v>2.3079967505593928E-2</v>
      </c>
    </row>
    <row r="83" spans="1:8" x14ac:dyDescent="0.2">
      <c r="A83" s="6">
        <v>82</v>
      </c>
      <c r="B83" s="1" t="s">
        <v>5</v>
      </c>
      <c r="C83" s="1" t="s">
        <v>24</v>
      </c>
      <c r="D83" s="4">
        <v>43.490879999999997</v>
      </c>
      <c r="E83" s="4">
        <v>4.4355000000000002</v>
      </c>
      <c r="F83" s="4">
        <v>47.926379999999995</v>
      </c>
      <c r="H83" s="68">
        <f t="shared" si="1"/>
        <v>9.2548195795301061E-2</v>
      </c>
    </row>
    <row r="84" spans="1:8" x14ac:dyDescent="0.2">
      <c r="A84" s="6">
        <v>83</v>
      </c>
      <c r="B84" s="1" t="s">
        <v>5</v>
      </c>
      <c r="C84" s="1" t="s">
        <v>25</v>
      </c>
      <c r="D84" s="4">
        <v>123.7533</v>
      </c>
      <c r="E84" s="4">
        <v>0</v>
      </c>
      <c r="F84" s="4">
        <v>123.7533</v>
      </c>
      <c r="H84" s="68">
        <f t="shared" si="1"/>
        <v>0</v>
      </c>
    </row>
    <row r="85" spans="1:8" x14ac:dyDescent="0.2">
      <c r="A85" s="6">
        <v>84</v>
      </c>
      <c r="B85" s="1" t="s">
        <v>5</v>
      </c>
      <c r="C85" s="1" t="s">
        <v>26</v>
      </c>
      <c r="D85" s="4">
        <v>0</v>
      </c>
      <c r="E85" s="4">
        <v>32.696919999999999</v>
      </c>
      <c r="F85" s="4">
        <v>32.696919999999999</v>
      </c>
      <c r="H85" s="68">
        <f t="shared" si="1"/>
        <v>1</v>
      </c>
    </row>
    <row r="86" spans="1:8" x14ac:dyDescent="0.2">
      <c r="A86" s="6">
        <v>85</v>
      </c>
      <c r="B86" s="1" t="s">
        <v>5</v>
      </c>
      <c r="C86" s="1" t="s">
        <v>27</v>
      </c>
      <c r="D86" s="4">
        <v>1966.83905</v>
      </c>
      <c r="E86" s="4">
        <v>244.81053</v>
      </c>
      <c r="F86" s="4">
        <v>2211.6495800000002</v>
      </c>
      <c r="H86" s="68">
        <f t="shared" si="1"/>
        <v>0.11069137363071774</v>
      </c>
    </row>
    <row r="87" spans="1:8" x14ac:dyDescent="0.2">
      <c r="A87" s="6">
        <v>86</v>
      </c>
      <c r="B87" s="1" t="s">
        <v>5</v>
      </c>
      <c r="C87" s="1" t="s">
        <v>28</v>
      </c>
      <c r="D87" s="4">
        <v>12.731809999999999</v>
      </c>
      <c r="E87" s="4">
        <v>0</v>
      </c>
      <c r="F87" s="4">
        <v>12.731809999999999</v>
      </c>
      <c r="H87" s="68">
        <f t="shared" si="1"/>
        <v>0</v>
      </c>
    </row>
    <row r="88" spans="1:8" x14ac:dyDescent="0.2">
      <c r="A88" s="6">
        <v>87</v>
      </c>
      <c r="B88" s="1" t="s">
        <v>5</v>
      </c>
      <c r="C88" s="1" t="s">
        <v>29</v>
      </c>
      <c r="D88" s="4">
        <v>1465.2945099999999</v>
      </c>
      <c r="E88" s="4">
        <v>491.64132999999998</v>
      </c>
      <c r="F88" s="4">
        <v>1956.9358399999999</v>
      </c>
      <c r="H88" s="68">
        <f t="shared" si="1"/>
        <v>0.2512301731874868</v>
      </c>
    </row>
    <row r="89" spans="1:8" x14ac:dyDescent="0.2">
      <c r="A89" s="6">
        <v>88</v>
      </c>
      <c r="B89" s="1" t="s">
        <v>5</v>
      </c>
      <c r="C89" s="1" t="s">
        <v>30</v>
      </c>
      <c r="D89" s="4">
        <v>879.49009000000001</v>
      </c>
      <c r="E89" s="4">
        <v>1372.5131699999999</v>
      </c>
      <c r="F89" s="4">
        <v>2252.00326</v>
      </c>
      <c r="H89" s="68">
        <f t="shared" si="1"/>
        <v>0.6094632251997717</v>
      </c>
    </row>
    <row r="90" spans="1:8" x14ac:dyDescent="0.2">
      <c r="A90" s="6">
        <v>89</v>
      </c>
      <c r="B90" s="1" t="s">
        <v>5</v>
      </c>
      <c r="C90" s="1" t="s">
        <v>31</v>
      </c>
      <c r="D90" s="4">
        <v>33.884050000000002</v>
      </c>
      <c r="E90" s="4">
        <v>1803.7973500000001</v>
      </c>
      <c r="F90" s="4">
        <v>1837.6813999999999</v>
      </c>
      <c r="H90" s="68">
        <f t="shared" si="1"/>
        <v>0.98156152094699334</v>
      </c>
    </row>
    <row r="91" spans="1:8" x14ac:dyDescent="0.2">
      <c r="A91" s="7">
        <v>90</v>
      </c>
      <c r="B91" s="8" t="s">
        <v>5</v>
      </c>
      <c r="C91" s="8" t="s">
        <v>32</v>
      </c>
      <c r="D91" s="9">
        <v>40701.017179999995</v>
      </c>
      <c r="E91" s="9">
        <v>4804.5503600000002</v>
      </c>
      <c r="F91" s="9">
        <v>45505.567539999996</v>
      </c>
      <c r="H91" s="68">
        <f t="shared" si="1"/>
        <v>0.1055815940714669</v>
      </c>
    </row>
    <row r="92" spans="1:8" x14ac:dyDescent="0.2">
      <c r="A92" s="6">
        <v>91</v>
      </c>
      <c r="B92" s="1" t="s">
        <v>5</v>
      </c>
      <c r="C92" s="1" t="s">
        <v>33</v>
      </c>
      <c r="D92" s="4">
        <v>0.50710926388667443</v>
      </c>
      <c r="E92" s="4">
        <v>6.444541795001317E-2</v>
      </c>
      <c r="F92" s="4">
        <v>0.29393876881742353</v>
      </c>
      <c r="H92" s="68">
        <f t="shared" si="1"/>
        <v>0.21924776445546948</v>
      </c>
    </row>
    <row r="93" spans="1:8" x14ac:dyDescent="0.2">
      <c r="A93" s="6">
        <v>92</v>
      </c>
      <c r="B93" s="1" t="s">
        <v>5</v>
      </c>
      <c r="C93" s="1" t="s">
        <v>34</v>
      </c>
      <c r="D93" s="4">
        <v>0</v>
      </c>
      <c r="E93" s="4">
        <v>0</v>
      </c>
      <c r="F93" s="4">
        <v>0</v>
      </c>
      <c r="H93" s="68">
        <f t="shared" si="1"/>
        <v>0</v>
      </c>
    </row>
    <row r="94" spans="1:8" x14ac:dyDescent="0.2">
      <c r="A94" s="6">
        <v>93</v>
      </c>
      <c r="B94" s="1" t="s">
        <v>5</v>
      </c>
      <c r="C94" s="1" t="s">
        <v>35</v>
      </c>
      <c r="D94" s="4">
        <v>933.83558000000005</v>
      </c>
      <c r="E94" s="4">
        <v>427.33521000000002</v>
      </c>
      <c r="F94" s="4">
        <v>1361.1707900000001</v>
      </c>
      <c r="H94" s="68">
        <f t="shared" si="1"/>
        <v>0.31394679722740743</v>
      </c>
    </row>
    <row r="95" spans="1:8" x14ac:dyDescent="0.2">
      <c r="A95" s="6">
        <v>94</v>
      </c>
      <c r="B95" s="1" t="s">
        <v>5</v>
      </c>
      <c r="C95" s="1" t="s">
        <v>36</v>
      </c>
      <c r="D95" s="4">
        <v>0</v>
      </c>
      <c r="E95" s="4">
        <v>0</v>
      </c>
      <c r="F95" s="4">
        <v>0</v>
      </c>
      <c r="H95" s="68">
        <f t="shared" si="1"/>
        <v>0</v>
      </c>
    </row>
    <row r="96" spans="1:8" x14ac:dyDescent="0.2">
      <c r="A96" s="6">
        <v>95</v>
      </c>
      <c r="B96" s="1" t="s">
        <v>5</v>
      </c>
      <c r="C96" s="1" t="s">
        <v>37</v>
      </c>
      <c r="D96" s="4">
        <v>265.99086999999997</v>
      </c>
      <c r="E96" s="4">
        <v>27.463789999999999</v>
      </c>
      <c r="F96" s="4">
        <v>293.45465999999999</v>
      </c>
      <c r="H96" s="68">
        <f t="shared" si="1"/>
        <v>9.3587847608213134E-2</v>
      </c>
    </row>
    <row r="97" spans="1:8" x14ac:dyDescent="0.2">
      <c r="A97" s="7">
        <v>96</v>
      </c>
      <c r="B97" s="8" t="s">
        <v>5</v>
      </c>
      <c r="C97" s="8" t="s">
        <v>38</v>
      </c>
      <c r="D97" s="9">
        <v>1199.82645</v>
      </c>
      <c r="E97" s="9">
        <v>454.79900000000004</v>
      </c>
      <c r="F97" s="9">
        <v>1654.62545</v>
      </c>
      <c r="H97" s="68">
        <f t="shared" si="1"/>
        <v>0.27486522705183825</v>
      </c>
    </row>
    <row r="98" spans="1:8" x14ac:dyDescent="0.2">
      <c r="A98" s="6">
        <v>97</v>
      </c>
      <c r="B98" s="1" t="s">
        <v>5</v>
      </c>
      <c r="C98" s="1" t="s">
        <v>33</v>
      </c>
      <c r="D98" s="4">
        <v>1.4949088499690951E-2</v>
      </c>
      <c r="E98" s="4">
        <v>6.1004067898349683E-3</v>
      </c>
      <c r="F98" s="4">
        <v>1.0687891480519605E-2</v>
      </c>
      <c r="H98" s="68">
        <f t="shared" si="1"/>
        <v>0.57077738868830563</v>
      </c>
    </row>
    <row r="99" spans="1:8" x14ac:dyDescent="0.2">
      <c r="A99" s="6">
        <v>98</v>
      </c>
      <c r="B99" s="1" t="s">
        <v>5</v>
      </c>
      <c r="C99" s="1" t="s">
        <v>39</v>
      </c>
      <c r="D99" s="4">
        <v>0</v>
      </c>
      <c r="E99" s="4">
        <v>0</v>
      </c>
      <c r="F99" s="4">
        <v>0</v>
      </c>
      <c r="H99" s="68">
        <f t="shared" si="1"/>
        <v>0</v>
      </c>
    </row>
    <row r="100" spans="1:8" x14ac:dyDescent="0.2">
      <c r="A100" s="6">
        <v>99</v>
      </c>
      <c r="B100" s="1" t="s">
        <v>5</v>
      </c>
      <c r="C100" s="1" t="s">
        <v>40</v>
      </c>
      <c r="D100" s="4">
        <v>0</v>
      </c>
      <c r="E100" s="4">
        <v>595.65763000000004</v>
      </c>
      <c r="F100" s="4">
        <v>595.65763000000004</v>
      </c>
      <c r="H100" s="68">
        <f t="shared" si="1"/>
        <v>1</v>
      </c>
    </row>
    <row r="101" spans="1:8" x14ac:dyDescent="0.2">
      <c r="A101" s="6">
        <v>100</v>
      </c>
      <c r="B101" s="1" t="s">
        <v>5</v>
      </c>
      <c r="C101" s="1" t="s">
        <v>41</v>
      </c>
      <c r="D101" s="4">
        <v>0</v>
      </c>
      <c r="E101" s="4">
        <v>1465.71433</v>
      </c>
      <c r="F101" s="4">
        <v>1465.71433</v>
      </c>
      <c r="H101" s="68">
        <f t="shared" si="1"/>
        <v>1</v>
      </c>
    </row>
    <row r="102" spans="1:8" x14ac:dyDescent="0.2">
      <c r="A102" s="6">
        <v>101</v>
      </c>
      <c r="B102" s="1" t="s">
        <v>5</v>
      </c>
      <c r="C102" s="1" t="s">
        <v>42</v>
      </c>
      <c r="D102" s="4">
        <v>432.23068000000001</v>
      </c>
      <c r="E102" s="4">
        <v>1051.72478</v>
      </c>
      <c r="F102" s="4">
        <v>1483.9554600000001</v>
      </c>
      <c r="H102" s="68">
        <f t="shared" si="1"/>
        <v>0.70873069195756044</v>
      </c>
    </row>
    <row r="103" spans="1:8" x14ac:dyDescent="0.2">
      <c r="A103" s="6">
        <v>102</v>
      </c>
      <c r="B103" s="1" t="s">
        <v>5</v>
      </c>
      <c r="C103" s="1" t="s">
        <v>43</v>
      </c>
      <c r="D103" s="4">
        <v>0</v>
      </c>
      <c r="E103" s="4">
        <v>0</v>
      </c>
      <c r="F103" s="4">
        <v>0</v>
      </c>
      <c r="H103" s="68">
        <f t="shared" si="1"/>
        <v>0</v>
      </c>
    </row>
    <row r="104" spans="1:8" x14ac:dyDescent="0.2">
      <c r="A104" s="6">
        <v>103</v>
      </c>
      <c r="B104" s="1" t="s">
        <v>5</v>
      </c>
      <c r="C104" s="1" t="s">
        <v>44</v>
      </c>
      <c r="D104" s="4">
        <v>69.232870000000005</v>
      </c>
      <c r="E104" s="4">
        <v>1035.2412999999999</v>
      </c>
      <c r="F104" s="4">
        <v>1104.47417</v>
      </c>
      <c r="H104" s="68">
        <f t="shared" si="1"/>
        <v>0.93731598992487075</v>
      </c>
    </row>
    <row r="105" spans="1:8" x14ac:dyDescent="0.2">
      <c r="A105" s="7">
        <v>104</v>
      </c>
      <c r="B105" s="8" t="s">
        <v>5</v>
      </c>
      <c r="C105" s="8" t="s">
        <v>45</v>
      </c>
      <c r="D105" s="9">
        <v>501.46355</v>
      </c>
      <c r="E105" s="9">
        <v>4148.3380399999996</v>
      </c>
      <c r="F105" s="9">
        <v>4649.80159</v>
      </c>
      <c r="H105" s="68">
        <f t="shared" si="1"/>
        <v>0.89215377467321133</v>
      </c>
    </row>
    <row r="106" spans="1:8" x14ac:dyDescent="0.2">
      <c r="A106" s="6">
        <v>105</v>
      </c>
      <c r="B106" s="1" t="s">
        <v>5</v>
      </c>
      <c r="C106" s="1" t="s">
        <v>33</v>
      </c>
      <c r="D106" s="4">
        <v>6.2479227627622296E-3</v>
      </c>
      <c r="E106" s="4">
        <v>5.564337112822737E-2</v>
      </c>
      <c r="F106" s="4">
        <v>3.0034939206252092E-2</v>
      </c>
      <c r="H106" s="68">
        <f t="shared" si="1"/>
        <v>1.8526214002339185</v>
      </c>
    </row>
    <row r="107" spans="1:8" x14ac:dyDescent="0.2">
      <c r="A107" s="6">
        <v>106</v>
      </c>
      <c r="B107" s="1" t="s">
        <v>5</v>
      </c>
      <c r="C107" s="1" t="s">
        <v>46</v>
      </c>
      <c r="D107" s="4">
        <v>3178.1629200000002</v>
      </c>
      <c r="E107" s="4">
        <v>478.64866000000001</v>
      </c>
      <c r="F107" s="4">
        <v>3656.81158</v>
      </c>
      <c r="H107" s="68">
        <f t="shared" si="1"/>
        <v>0.13089234966817734</v>
      </c>
    </row>
    <row r="108" spans="1:8" x14ac:dyDescent="0.2">
      <c r="A108" s="6">
        <v>107</v>
      </c>
      <c r="B108" s="1" t="s">
        <v>5</v>
      </c>
      <c r="C108" s="1" t="s">
        <v>47</v>
      </c>
      <c r="D108" s="4">
        <v>3352.3388500000001</v>
      </c>
      <c r="E108" s="4">
        <v>130.44977</v>
      </c>
      <c r="F108" s="4">
        <v>3482.7886200000003</v>
      </c>
      <c r="H108" s="68">
        <f t="shared" si="1"/>
        <v>3.7455551924939962E-2</v>
      </c>
    </row>
    <row r="109" spans="1:8" x14ac:dyDescent="0.2">
      <c r="A109" s="6">
        <v>108</v>
      </c>
      <c r="B109" s="1" t="s">
        <v>5</v>
      </c>
      <c r="C109" s="1" t="s">
        <v>48</v>
      </c>
      <c r="D109" s="4">
        <v>230.45089999999999</v>
      </c>
      <c r="E109" s="4">
        <v>111.37511000000001</v>
      </c>
      <c r="F109" s="4">
        <v>341.82601</v>
      </c>
      <c r="H109" s="68">
        <f t="shared" si="1"/>
        <v>0.32582397694078341</v>
      </c>
    </row>
    <row r="110" spans="1:8" x14ac:dyDescent="0.2">
      <c r="A110" s="6">
        <v>109</v>
      </c>
      <c r="B110" s="1" t="s">
        <v>5</v>
      </c>
      <c r="C110" s="1" t="s">
        <v>49</v>
      </c>
      <c r="D110" s="4">
        <v>0</v>
      </c>
      <c r="E110" s="4">
        <v>0</v>
      </c>
      <c r="F110" s="4">
        <v>0</v>
      </c>
      <c r="H110" s="68">
        <f t="shared" si="1"/>
        <v>0</v>
      </c>
    </row>
    <row r="111" spans="1:8" x14ac:dyDescent="0.2">
      <c r="A111" s="6">
        <v>110</v>
      </c>
      <c r="B111" s="1" t="s">
        <v>5</v>
      </c>
      <c r="C111" s="1" t="s">
        <v>50</v>
      </c>
      <c r="D111" s="4">
        <v>347.91356000000002</v>
      </c>
      <c r="E111" s="4">
        <v>3.5137499999999999</v>
      </c>
      <c r="F111" s="4">
        <v>351.42731000000003</v>
      </c>
      <c r="H111" s="68">
        <f t="shared" si="1"/>
        <v>9.9985114987221676E-3</v>
      </c>
    </row>
    <row r="112" spans="1:8" x14ac:dyDescent="0.2">
      <c r="A112" s="7">
        <v>111</v>
      </c>
      <c r="B112" s="8" t="s">
        <v>5</v>
      </c>
      <c r="C112" s="8" t="s">
        <v>51</v>
      </c>
      <c r="D112" s="9">
        <v>7108.8662300000005</v>
      </c>
      <c r="E112" s="9">
        <v>723.98728999999992</v>
      </c>
      <c r="F112" s="9">
        <v>7832.8535200000006</v>
      </c>
      <c r="H112" s="68">
        <f t="shared" si="1"/>
        <v>9.2429570928577745E-2</v>
      </c>
    </row>
    <row r="113" spans="1:8" x14ac:dyDescent="0.2">
      <c r="A113" s="6">
        <v>112</v>
      </c>
      <c r="B113" s="1" t="s">
        <v>5</v>
      </c>
      <c r="C113" s="1" t="s">
        <v>33</v>
      </c>
      <c r="D113" s="4">
        <v>8.857203506785033E-2</v>
      </c>
      <c r="E113" s="4">
        <v>9.7111404811141121E-3</v>
      </c>
      <c r="F113" s="4">
        <v>5.0595552246924524E-2</v>
      </c>
      <c r="H113" s="68">
        <f t="shared" si="1"/>
        <v>0.19193664363460741</v>
      </c>
    </row>
    <row r="114" spans="1:8" x14ac:dyDescent="0.2">
      <c r="A114" s="6">
        <v>113</v>
      </c>
      <c r="B114" s="1" t="s">
        <v>5</v>
      </c>
      <c r="C114" s="1" t="s">
        <v>52</v>
      </c>
      <c r="D114" s="4">
        <v>215.08296000000001</v>
      </c>
      <c r="E114" s="4">
        <v>623.79340999999999</v>
      </c>
      <c r="F114" s="4">
        <v>838.87636999999995</v>
      </c>
      <c r="H114" s="68">
        <f t="shared" si="1"/>
        <v>0.74360589034114766</v>
      </c>
    </row>
    <row r="115" spans="1:8" x14ac:dyDescent="0.2">
      <c r="A115" s="6">
        <v>114</v>
      </c>
      <c r="B115" s="1" t="s">
        <v>5</v>
      </c>
      <c r="C115" s="1" t="s">
        <v>53</v>
      </c>
      <c r="D115" s="4">
        <v>2.5649999999999999E-2</v>
      </c>
      <c r="E115" s="4">
        <v>1621.20451</v>
      </c>
      <c r="F115" s="4">
        <v>1621.2301600000001</v>
      </c>
      <c r="H115" s="68">
        <f t="shared" si="1"/>
        <v>0.99998417868071243</v>
      </c>
    </row>
    <row r="116" spans="1:8" x14ac:dyDescent="0.2">
      <c r="A116" s="6">
        <v>115</v>
      </c>
      <c r="B116" s="1" t="s">
        <v>5</v>
      </c>
      <c r="C116" s="1" t="s">
        <v>54</v>
      </c>
      <c r="D116" s="4">
        <v>371.54352</v>
      </c>
      <c r="E116" s="4">
        <v>79.005409999999998</v>
      </c>
      <c r="F116" s="4">
        <v>450.54892999999998</v>
      </c>
      <c r="H116" s="68">
        <f t="shared" si="1"/>
        <v>0.17535367357325651</v>
      </c>
    </row>
    <row r="117" spans="1:8" x14ac:dyDescent="0.2">
      <c r="A117" s="6">
        <v>116</v>
      </c>
      <c r="B117" s="1" t="s">
        <v>5</v>
      </c>
      <c r="C117" s="1" t="s">
        <v>55</v>
      </c>
      <c r="D117" s="4">
        <v>418.95240000000001</v>
      </c>
      <c r="E117" s="4">
        <v>863.02646000000004</v>
      </c>
      <c r="F117" s="4">
        <v>1281.9788600000002</v>
      </c>
      <c r="H117" s="68">
        <f t="shared" si="1"/>
        <v>0.67319866725415423</v>
      </c>
    </row>
    <row r="118" spans="1:8" x14ac:dyDescent="0.2">
      <c r="A118" s="6">
        <v>117</v>
      </c>
      <c r="B118" s="1" t="s">
        <v>5</v>
      </c>
      <c r="C118" s="1" t="s">
        <v>56</v>
      </c>
      <c r="D118" s="4">
        <v>7187.3130199999996</v>
      </c>
      <c r="E118" s="4">
        <v>21895.88435</v>
      </c>
      <c r="F118" s="4">
        <v>29083.197370000002</v>
      </c>
      <c r="H118" s="68">
        <f t="shared" si="1"/>
        <v>0.75287060330533384</v>
      </c>
    </row>
    <row r="119" spans="1:8" x14ac:dyDescent="0.2">
      <c r="A119" s="6">
        <v>118</v>
      </c>
      <c r="B119" s="1" t="s">
        <v>5</v>
      </c>
      <c r="C119" s="1" t="s">
        <v>57</v>
      </c>
      <c r="D119" s="4">
        <v>1304.9217200000001</v>
      </c>
      <c r="E119" s="4">
        <v>5400.8806800000002</v>
      </c>
      <c r="F119" s="4">
        <v>6705.8024000000005</v>
      </c>
      <c r="H119" s="68">
        <f t="shared" si="1"/>
        <v>0.80540409004595781</v>
      </c>
    </row>
    <row r="120" spans="1:8" x14ac:dyDescent="0.2">
      <c r="A120" s="6">
        <v>119</v>
      </c>
      <c r="B120" s="1" t="s">
        <v>5</v>
      </c>
      <c r="C120" s="1" t="s">
        <v>58</v>
      </c>
      <c r="D120" s="4">
        <v>1332.81394</v>
      </c>
      <c r="E120" s="4">
        <v>238.22130999999999</v>
      </c>
      <c r="F120" s="4">
        <v>1571.0352499999999</v>
      </c>
      <c r="H120" s="68">
        <f t="shared" si="1"/>
        <v>0.15163333222472253</v>
      </c>
    </row>
    <row r="121" spans="1:8" x14ac:dyDescent="0.2">
      <c r="A121" s="7">
        <v>120</v>
      </c>
      <c r="B121" s="8" t="s">
        <v>5</v>
      </c>
      <c r="C121" s="8" t="s">
        <v>59</v>
      </c>
      <c r="D121" s="9">
        <v>10830.65321</v>
      </c>
      <c r="E121" s="9">
        <v>30722.016130000004</v>
      </c>
      <c r="F121" s="9">
        <v>41552.669340000008</v>
      </c>
      <c r="H121" s="68">
        <f t="shared" si="1"/>
        <v>0.73935120457895465</v>
      </c>
    </row>
    <row r="122" spans="1:8" x14ac:dyDescent="0.2">
      <c r="A122" s="6">
        <v>121</v>
      </c>
      <c r="B122" s="1" t="s">
        <v>5</v>
      </c>
      <c r="C122" s="1" t="s">
        <v>33</v>
      </c>
      <c r="D122" s="4">
        <v>0.1349431772784738</v>
      </c>
      <c r="E122" s="4">
        <v>0.41208708857510989</v>
      </c>
      <c r="F122" s="4">
        <v>0.26840540898958992</v>
      </c>
      <c r="H122" s="68">
        <f t="shared" si="1"/>
        <v>1.5353158869875556</v>
      </c>
    </row>
    <row r="123" spans="1:8" x14ac:dyDescent="0.2">
      <c r="A123" s="6">
        <v>122</v>
      </c>
      <c r="B123" s="1" t="s">
        <v>5</v>
      </c>
      <c r="C123" s="1" t="s">
        <v>60</v>
      </c>
      <c r="D123" s="4">
        <v>2512.75567</v>
      </c>
      <c r="E123" s="4">
        <v>174.33758</v>
      </c>
      <c r="F123" s="4">
        <v>2687.0932499999999</v>
      </c>
      <c r="H123" s="68">
        <f t="shared" si="1"/>
        <v>6.4879616663842982E-2</v>
      </c>
    </row>
    <row r="124" spans="1:8" x14ac:dyDescent="0.2">
      <c r="A124" s="6">
        <v>123</v>
      </c>
      <c r="B124" s="1" t="s">
        <v>5</v>
      </c>
      <c r="C124" s="1" t="s">
        <v>61</v>
      </c>
      <c r="D124" s="4">
        <v>971.79271000000006</v>
      </c>
      <c r="E124" s="4">
        <v>2101.7183199999999</v>
      </c>
      <c r="F124" s="4">
        <v>3073.5110300000001</v>
      </c>
      <c r="H124" s="68">
        <f t="shared" si="1"/>
        <v>0.68381674882097299</v>
      </c>
    </row>
    <row r="125" spans="1:8" x14ac:dyDescent="0.2">
      <c r="A125" s="6">
        <v>124</v>
      </c>
      <c r="B125" s="1" t="s">
        <v>5</v>
      </c>
      <c r="C125" s="1" t="s">
        <v>62</v>
      </c>
      <c r="D125" s="4">
        <v>1534.57942</v>
      </c>
      <c r="E125" s="4">
        <v>104.33951</v>
      </c>
      <c r="F125" s="4">
        <v>1638.91893</v>
      </c>
      <c r="H125" s="68">
        <f t="shared" si="1"/>
        <v>6.3663618797788854E-2</v>
      </c>
    </row>
    <row r="126" spans="1:8" x14ac:dyDescent="0.2">
      <c r="A126" s="6">
        <v>125</v>
      </c>
      <c r="B126" s="1" t="s">
        <v>5</v>
      </c>
      <c r="C126" s="1" t="s">
        <v>63</v>
      </c>
      <c r="D126" s="4">
        <v>0</v>
      </c>
      <c r="E126" s="4">
        <v>15.18876</v>
      </c>
      <c r="F126" s="4">
        <v>15.18876</v>
      </c>
      <c r="H126" s="68">
        <f t="shared" si="1"/>
        <v>1</v>
      </c>
    </row>
    <row r="127" spans="1:8" x14ac:dyDescent="0.2">
      <c r="A127" s="6">
        <v>126</v>
      </c>
      <c r="B127" s="1" t="s">
        <v>5</v>
      </c>
      <c r="C127" s="1" t="s">
        <v>64</v>
      </c>
      <c r="D127" s="4">
        <v>1453.6117400000001</v>
      </c>
      <c r="E127" s="4">
        <v>174.12822</v>
      </c>
      <c r="F127" s="4">
        <v>1627.7399600000001</v>
      </c>
      <c r="H127" s="68">
        <f t="shared" si="1"/>
        <v>0.106975453253602</v>
      </c>
    </row>
    <row r="128" spans="1:8" x14ac:dyDescent="0.2">
      <c r="A128" s="7">
        <v>127</v>
      </c>
      <c r="B128" s="8" t="s">
        <v>5</v>
      </c>
      <c r="C128" s="8" t="s">
        <v>65</v>
      </c>
      <c r="D128" s="9">
        <v>6472.7395400000005</v>
      </c>
      <c r="E128" s="9">
        <v>2569.7123899999997</v>
      </c>
      <c r="F128" s="9">
        <v>9042.4519299999993</v>
      </c>
      <c r="H128" s="68">
        <f t="shared" si="1"/>
        <v>0.28418314079995333</v>
      </c>
    </row>
    <row r="129" spans="1:8" x14ac:dyDescent="0.2">
      <c r="A129" s="6">
        <v>128</v>
      </c>
      <c r="B129" s="1" t="s">
        <v>5</v>
      </c>
      <c r="C129" s="1" t="s">
        <v>33</v>
      </c>
      <c r="D129" s="4">
        <v>8.06462936526436E-2</v>
      </c>
      <c r="E129" s="4">
        <v>3.4468613413571797E-2</v>
      </c>
      <c r="F129" s="4">
        <v>5.840883503010004E-2</v>
      </c>
      <c r="H129" s="68">
        <f t="shared" si="1"/>
        <v>0.59012670593085725</v>
      </c>
    </row>
    <row r="130" spans="1:8" x14ac:dyDescent="0.2">
      <c r="A130" s="6">
        <v>129</v>
      </c>
      <c r="B130" s="1" t="s">
        <v>5</v>
      </c>
      <c r="C130" s="1" t="s">
        <v>66</v>
      </c>
      <c r="D130" s="4">
        <v>234.68869000000001</v>
      </c>
      <c r="E130" s="4">
        <v>1.2985</v>
      </c>
      <c r="F130" s="4">
        <v>235.98719</v>
      </c>
      <c r="H130" s="68">
        <f t="shared" si="1"/>
        <v>5.5024173134143421E-3</v>
      </c>
    </row>
    <row r="131" spans="1:8" x14ac:dyDescent="0.2">
      <c r="A131" s="6">
        <v>130</v>
      </c>
      <c r="B131" s="1" t="s">
        <v>5</v>
      </c>
      <c r="C131" s="1" t="s">
        <v>67</v>
      </c>
      <c r="D131" s="4">
        <v>1092.9871499999999</v>
      </c>
      <c r="E131" s="4">
        <v>3947.73038</v>
      </c>
      <c r="F131" s="4">
        <v>5040.7175299999999</v>
      </c>
      <c r="H131" s="68">
        <f t="shared" ref="H131:H194" si="2">IFERROR(E131/F131,0)</f>
        <v>0.78316833992481227</v>
      </c>
    </row>
    <row r="132" spans="1:8" x14ac:dyDescent="0.2">
      <c r="A132" s="6">
        <v>131</v>
      </c>
      <c r="B132" s="1" t="s">
        <v>5</v>
      </c>
      <c r="C132" s="1" t="s">
        <v>68</v>
      </c>
      <c r="D132" s="4">
        <v>1193.71138</v>
      </c>
      <c r="E132" s="4">
        <v>3378.84238</v>
      </c>
      <c r="F132" s="4">
        <v>4572.5537599999998</v>
      </c>
      <c r="H132" s="68">
        <f t="shared" si="2"/>
        <v>0.73893989165476759</v>
      </c>
    </row>
    <row r="133" spans="1:8" x14ac:dyDescent="0.2">
      <c r="A133" s="6">
        <v>132</v>
      </c>
      <c r="B133" s="1" t="s">
        <v>5</v>
      </c>
      <c r="C133" s="1" t="s">
        <v>69</v>
      </c>
      <c r="D133" s="4">
        <v>282.71980000000002</v>
      </c>
      <c r="E133" s="4">
        <v>239.38905</v>
      </c>
      <c r="F133" s="4">
        <v>522.10885000000007</v>
      </c>
      <c r="H133" s="68">
        <f t="shared" si="2"/>
        <v>0.45850410311949313</v>
      </c>
    </row>
    <row r="134" spans="1:8" x14ac:dyDescent="0.2">
      <c r="A134" s="6">
        <v>133</v>
      </c>
      <c r="B134" s="1" t="s">
        <v>5</v>
      </c>
      <c r="C134" s="1" t="s">
        <v>70</v>
      </c>
      <c r="D134" s="4">
        <v>6126.9889499999999</v>
      </c>
      <c r="E134" s="4">
        <v>5869.9294</v>
      </c>
      <c r="F134" s="4">
        <v>11996.91835</v>
      </c>
      <c r="H134" s="68">
        <f t="shared" si="2"/>
        <v>0.48928643412831097</v>
      </c>
    </row>
    <row r="135" spans="1:8" x14ac:dyDescent="0.2">
      <c r="A135" s="6">
        <v>134</v>
      </c>
      <c r="B135" s="1" t="s">
        <v>5</v>
      </c>
      <c r="C135" s="1" t="s">
        <v>71</v>
      </c>
      <c r="D135" s="4">
        <v>0</v>
      </c>
      <c r="E135" s="4">
        <v>0</v>
      </c>
      <c r="F135" s="4">
        <v>0</v>
      </c>
      <c r="H135" s="68">
        <f t="shared" si="2"/>
        <v>0</v>
      </c>
    </row>
    <row r="136" spans="1:8" x14ac:dyDescent="0.2">
      <c r="A136" s="6">
        <v>135</v>
      </c>
      <c r="B136" s="1" t="s">
        <v>5</v>
      </c>
      <c r="C136" s="1" t="s">
        <v>72</v>
      </c>
      <c r="D136" s="4">
        <v>347.92790000000002</v>
      </c>
      <c r="E136" s="4">
        <v>0</v>
      </c>
      <c r="F136" s="4">
        <v>347.92790000000002</v>
      </c>
      <c r="H136" s="68">
        <f t="shared" si="2"/>
        <v>0</v>
      </c>
    </row>
    <row r="137" spans="1:8" x14ac:dyDescent="0.2">
      <c r="A137" s="6">
        <v>136</v>
      </c>
      <c r="B137" s="1" t="s">
        <v>5</v>
      </c>
      <c r="C137" s="1" t="s">
        <v>73</v>
      </c>
      <c r="D137" s="4">
        <v>55.5</v>
      </c>
      <c r="E137" s="4">
        <v>2769.5691900000002</v>
      </c>
      <c r="F137" s="4">
        <v>2825.0691900000002</v>
      </c>
      <c r="H137" s="68">
        <f t="shared" si="2"/>
        <v>0.98035446346006128</v>
      </c>
    </row>
    <row r="138" spans="1:8" x14ac:dyDescent="0.2">
      <c r="A138" s="6">
        <v>137</v>
      </c>
      <c r="B138" s="1" t="s">
        <v>5</v>
      </c>
      <c r="C138" s="1" t="s">
        <v>74</v>
      </c>
      <c r="D138" s="4">
        <v>357.27904000000001</v>
      </c>
      <c r="E138" s="4">
        <v>718.84726000000001</v>
      </c>
      <c r="F138" s="4">
        <v>1076.1262999999999</v>
      </c>
      <c r="H138" s="68">
        <f t="shared" si="2"/>
        <v>0.667995252973559</v>
      </c>
    </row>
    <row r="139" spans="1:8" x14ac:dyDescent="0.2">
      <c r="A139" s="6">
        <v>138</v>
      </c>
      <c r="B139" s="1" t="s">
        <v>5</v>
      </c>
      <c r="C139" s="1" t="s">
        <v>75</v>
      </c>
      <c r="D139" s="4">
        <v>240.98814999999999</v>
      </c>
      <c r="E139" s="4">
        <v>196.30246</v>
      </c>
      <c r="F139" s="4">
        <v>437.29061000000002</v>
      </c>
      <c r="H139" s="68">
        <f t="shared" si="2"/>
        <v>0.44890618620875483</v>
      </c>
    </row>
    <row r="140" spans="1:8" x14ac:dyDescent="0.2">
      <c r="A140" s="6">
        <v>139</v>
      </c>
      <c r="B140" s="1" t="s">
        <v>5</v>
      </c>
      <c r="C140" s="1" t="s">
        <v>76</v>
      </c>
      <c r="D140" s="4">
        <v>110.22239999999999</v>
      </c>
      <c r="E140" s="4">
        <v>67.390749999999997</v>
      </c>
      <c r="F140" s="4">
        <v>177.61314999999999</v>
      </c>
      <c r="H140" s="68">
        <f t="shared" si="2"/>
        <v>0.37942432753430699</v>
      </c>
    </row>
    <row r="141" spans="1:8" x14ac:dyDescent="0.2">
      <c r="A141" s="6">
        <v>140</v>
      </c>
      <c r="B141" s="1" t="s">
        <v>5</v>
      </c>
      <c r="C141" s="1" t="s">
        <v>77</v>
      </c>
      <c r="D141" s="4">
        <v>10</v>
      </c>
      <c r="E141" s="4">
        <v>0</v>
      </c>
      <c r="F141" s="4">
        <v>10</v>
      </c>
      <c r="H141" s="68">
        <f t="shared" si="2"/>
        <v>0</v>
      </c>
    </row>
    <row r="142" spans="1:8" x14ac:dyDescent="0.2">
      <c r="A142" s="6">
        <v>141</v>
      </c>
      <c r="B142" s="1" t="s">
        <v>5</v>
      </c>
      <c r="C142" s="1" t="s">
        <v>78</v>
      </c>
      <c r="D142" s="4">
        <v>538.55204000000003</v>
      </c>
      <c r="E142" s="4">
        <v>2.45994</v>
      </c>
      <c r="F142" s="4">
        <v>541.01197999999999</v>
      </c>
      <c r="H142" s="68">
        <f t="shared" si="2"/>
        <v>4.5469233416975353E-3</v>
      </c>
    </row>
    <row r="143" spans="1:8" x14ac:dyDescent="0.2">
      <c r="A143" s="7">
        <v>142</v>
      </c>
      <c r="B143" s="8" t="s">
        <v>5</v>
      </c>
      <c r="C143" s="8" t="s">
        <v>79</v>
      </c>
      <c r="D143" s="9">
        <v>10591.565499999999</v>
      </c>
      <c r="E143" s="9">
        <v>17191.759309999998</v>
      </c>
      <c r="F143" s="9">
        <v>27783.324809999998</v>
      </c>
      <c r="H143" s="68">
        <f t="shared" si="2"/>
        <v>0.61877976907256982</v>
      </c>
    </row>
    <row r="144" spans="1:8" x14ac:dyDescent="0.2">
      <c r="A144" s="6">
        <v>143</v>
      </c>
      <c r="B144" s="1" t="s">
        <v>5</v>
      </c>
      <c r="C144" s="1" t="s">
        <v>33</v>
      </c>
      <c r="D144" s="4">
        <v>0.13196429367745094</v>
      </c>
      <c r="E144" s="4">
        <v>0.23060016671965528</v>
      </c>
      <c r="F144" s="4">
        <v>0.17946367290392393</v>
      </c>
      <c r="H144" s="68">
        <f t="shared" si="2"/>
        <v>1.2849406400096766</v>
      </c>
    </row>
    <row r="145" spans="1:8" x14ac:dyDescent="0.2">
      <c r="A145" s="6">
        <v>144</v>
      </c>
      <c r="B145" s="1" t="s">
        <v>5</v>
      </c>
      <c r="C145" s="1" t="s">
        <v>80</v>
      </c>
      <c r="D145" s="4">
        <v>0</v>
      </c>
      <c r="E145" s="4">
        <v>3835.38472</v>
      </c>
      <c r="F145" s="4">
        <v>3835.38472</v>
      </c>
      <c r="H145" s="68">
        <f t="shared" si="2"/>
        <v>1</v>
      </c>
    </row>
    <row r="146" spans="1:8" x14ac:dyDescent="0.2">
      <c r="A146" s="6">
        <v>145</v>
      </c>
      <c r="B146" s="1" t="s">
        <v>5</v>
      </c>
      <c r="C146" s="1" t="s">
        <v>81</v>
      </c>
      <c r="D146" s="4">
        <v>0</v>
      </c>
      <c r="E146" s="4">
        <v>3745.9802599999998</v>
      </c>
      <c r="F146" s="4">
        <v>3745.9802599999998</v>
      </c>
      <c r="H146" s="68">
        <f t="shared" si="2"/>
        <v>1</v>
      </c>
    </row>
    <row r="147" spans="1:8" x14ac:dyDescent="0.2">
      <c r="A147" s="6">
        <v>146</v>
      </c>
      <c r="B147" s="1" t="s">
        <v>5</v>
      </c>
      <c r="C147" s="1" t="s">
        <v>82</v>
      </c>
      <c r="D147" s="4">
        <v>0</v>
      </c>
      <c r="E147" s="4">
        <v>4405.7759900000001</v>
      </c>
      <c r="F147" s="4">
        <v>4405.7759900000001</v>
      </c>
      <c r="H147" s="68">
        <f t="shared" si="2"/>
        <v>1</v>
      </c>
    </row>
    <row r="148" spans="1:8" x14ac:dyDescent="0.2">
      <c r="A148" s="6">
        <v>147</v>
      </c>
      <c r="B148" s="1" t="s">
        <v>5</v>
      </c>
      <c r="C148" s="1" t="s">
        <v>83</v>
      </c>
      <c r="D148" s="4">
        <v>0</v>
      </c>
      <c r="E148" s="4">
        <v>609.58155999999997</v>
      </c>
      <c r="F148" s="4">
        <v>609.58155999999997</v>
      </c>
      <c r="H148" s="68">
        <f t="shared" si="2"/>
        <v>1</v>
      </c>
    </row>
    <row r="149" spans="1:8" x14ac:dyDescent="0.2">
      <c r="A149" s="6">
        <v>148</v>
      </c>
      <c r="B149" s="1" t="s">
        <v>5</v>
      </c>
      <c r="C149" s="1" t="s">
        <v>84</v>
      </c>
      <c r="D149" s="4">
        <v>0</v>
      </c>
      <c r="E149" s="4">
        <v>633.86048000000005</v>
      </c>
      <c r="F149" s="4">
        <v>633.86048000000005</v>
      </c>
      <c r="H149" s="68">
        <f t="shared" si="2"/>
        <v>1</v>
      </c>
    </row>
    <row r="150" spans="1:8" x14ac:dyDescent="0.2">
      <c r="A150" s="6">
        <v>149</v>
      </c>
      <c r="B150" s="1" t="s">
        <v>5</v>
      </c>
      <c r="C150" s="1" t="s">
        <v>85</v>
      </c>
      <c r="D150" s="4">
        <v>0</v>
      </c>
      <c r="E150" s="4">
        <v>0</v>
      </c>
      <c r="F150" s="4">
        <v>0</v>
      </c>
      <c r="H150" s="68">
        <f t="shared" si="2"/>
        <v>0</v>
      </c>
    </row>
    <row r="151" spans="1:8" x14ac:dyDescent="0.2">
      <c r="A151" s="7">
        <v>150</v>
      </c>
      <c r="B151" s="8" t="s">
        <v>5</v>
      </c>
      <c r="C151" s="8" t="s">
        <v>86</v>
      </c>
      <c r="D151" s="9">
        <v>0</v>
      </c>
      <c r="E151" s="9">
        <v>13230.58301</v>
      </c>
      <c r="F151" s="9">
        <v>13230.58301</v>
      </c>
      <c r="H151" s="68">
        <f t="shared" si="2"/>
        <v>1</v>
      </c>
    </row>
    <row r="152" spans="1:8" x14ac:dyDescent="0.2">
      <c r="A152" s="6">
        <v>151</v>
      </c>
      <c r="B152" s="1" t="s">
        <v>5</v>
      </c>
      <c r="C152" s="1" t="s">
        <v>33</v>
      </c>
      <c r="D152" s="4">
        <v>0</v>
      </c>
      <c r="E152" s="4">
        <v>0.17746727329584974</v>
      </c>
      <c r="F152" s="4">
        <v>8.5461658670176036E-2</v>
      </c>
      <c r="H152" s="68">
        <f t="shared" si="2"/>
        <v>2.0765718341689681</v>
      </c>
    </row>
    <row r="153" spans="1:8" x14ac:dyDescent="0.2">
      <c r="A153" s="6">
        <v>152</v>
      </c>
      <c r="B153" s="1" t="s">
        <v>5</v>
      </c>
      <c r="C153" s="1" t="s">
        <v>87</v>
      </c>
      <c r="D153" s="4">
        <v>0</v>
      </c>
      <c r="E153" s="4">
        <v>0</v>
      </c>
      <c r="F153" s="4">
        <v>0</v>
      </c>
      <c r="H153" s="68">
        <f t="shared" si="2"/>
        <v>0</v>
      </c>
    </row>
    <row r="154" spans="1:8" x14ac:dyDescent="0.2">
      <c r="A154" s="6">
        <v>153</v>
      </c>
      <c r="B154" s="1" t="s">
        <v>5</v>
      </c>
      <c r="C154" s="1" t="s">
        <v>88</v>
      </c>
      <c r="D154" s="4">
        <v>0</v>
      </c>
      <c r="E154" s="4">
        <v>0</v>
      </c>
      <c r="F154" s="4">
        <v>0</v>
      </c>
      <c r="H154" s="68">
        <f t="shared" si="2"/>
        <v>0</v>
      </c>
    </row>
    <row r="155" spans="1:8" x14ac:dyDescent="0.2">
      <c r="A155" s="7">
        <v>154</v>
      </c>
      <c r="B155" s="8" t="s">
        <v>5</v>
      </c>
      <c r="C155" s="8" t="s">
        <v>89</v>
      </c>
      <c r="D155" s="9">
        <v>0</v>
      </c>
      <c r="E155" s="9">
        <v>0</v>
      </c>
      <c r="F155" s="9">
        <v>0</v>
      </c>
      <c r="H155" s="68">
        <f t="shared" si="2"/>
        <v>0</v>
      </c>
    </row>
    <row r="156" spans="1:8" x14ac:dyDescent="0.2">
      <c r="A156" s="6">
        <v>155</v>
      </c>
      <c r="B156" s="1" t="s">
        <v>5</v>
      </c>
      <c r="C156" s="1" t="s">
        <v>33</v>
      </c>
      <c r="D156" s="4">
        <v>0</v>
      </c>
      <c r="E156" s="4">
        <v>0</v>
      </c>
      <c r="F156" s="4">
        <v>0</v>
      </c>
      <c r="H156" s="68">
        <f t="shared" si="2"/>
        <v>0</v>
      </c>
    </row>
    <row r="157" spans="1:8" x14ac:dyDescent="0.2">
      <c r="A157" s="6">
        <v>156</v>
      </c>
      <c r="B157" s="1" t="s">
        <v>5</v>
      </c>
      <c r="C157" s="1" t="s">
        <v>90</v>
      </c>
      <c r="D157" s="4">
        <v>1713.3</v>
      </c>
      <c r="E157" s="4">
        <v>671.02463999999998</v>
      </c>
      <c r="F157" s="4">
        <v>2384.3246399999998</v>
      </c>
      <c r="H157" s="68">
        <f t="shared" si="2"/>
        <v>0.28143174328811199</v>
      </c>
    </row>
    <row r="158" spans="1:8" x14ac:dyDescent="0.2">
      <c r="A158" s="6">
        <v>157</v>
      </c>
      <c r="B158" s="1" t="s">
        <v>5</v>
      </c>
      <c r="C158" s="1" t="s">
        <v>33</v>
      </c>
      <c r="D158" s="4">
        <v>2.1346648364453463E-2</v>
      </c>
      <c r="E158" s="4">
        <v>9.0007305864845018E-3</v>
      </c>
      <c r="F158" s="4">
        <v>1.5401312125743605E-2</v>
      </c>
      <c r="H158" s="68">
        <f t="shared" si="2"/>
        <v>0.58441323135316492</v>
      </c>
    </row>
    <row r="159" spans="1:8" x14ac:dyDescent="0.2">
      <c r="A159" s="6">
        <v>158</v>
      </c>
      <c r="B159" s="1" t="s">
        <v>5</v>
      </c>
      <c r="C159" s="1" t="s">
        <v>91</v>
      </c>
      <c r="D159" s="4">
        <v>1141.41167</v>
      </c>
      <c r="E159" s="4">
        <v>35.471290000000003</v>
      </c>
      <c r="F159" s="4">
        <v>1176.8829599999999</v>
      </c>
      <c r="H159" s="68">
        <f t="shared" si="2"/>
        <v>3.0140031936565729E-2</v>
      </c>
    </row>
    <row r="160" spans="1:8" x14ac:dyDescent="0.2">
      <c r="A160" s="6">
        <v>159</v>
      </c>
      <c r="B160" s="1" t="s">
        <v>5</v>
      </c>
      <c r="C160" s="1" t="s">
        <v>33</v>
      </c>
      <c r="D160" s="4">
        <v>1.4221276810000348E-2</v>
      </c>
      <c r="E160" s="4">
        <v>4.7579106013910587E-4</v>
      </c>
      <c r="F160" s="4">
        <v>7.601960529346803E-3</v>
      </c>
      <c r="H160" s="68">
        <f t="shared" si="2"/>
        <v>6.2587941400425576E-2</v>
      </c>
    </row>
    <row r="161" spans="1:8" x14ac:dyDescent="0.2">
      <c r="A161" s="10">
        <v>160</v>
      </c>
      <c r="B161" s="11" t="s">
        <v>5</v>
      </c>
      <c r="C161" s="11" t="s">
        <v>2</v>
      </c>
      <c r="D161" s="12">
        <v>80260.843329999989</v>
      </c>
      <c r="E161" s="12">
        <v>74552.241460000005</v>
      </c>
      <c r="F161" s="12">
        <v>154813.08478999999</v>
      </c>
      <c r="H161" s="68">
        <f t="shared" si="2"/>
        <v>0.48156292190113142</v>
      </c>
    </row>
    <row r="162" spans="1:8" x14ac:dyDescent="0.2">
      <c r="A162" s="6">
        <v>161</v>
      </c>
      <c r="B162" s="1" t="s">
        <v>6</v>
      </c>
      <c r="C162" s="1" t="s">
        <v>23</v>
      </c>
      <c r="D162" s="4">
        <v>31527.711039999998</v>
      </c>
      <c r="E162" s="4">
        <v>2472.5039900000002</v>
      </c>
      <c r="F162" s="4">
        <v>34000.215029999999</v>
      </c>
      <c r="H162" s="68">
        <f t="shared" si="2"/>
        <v>7.2720245675458012E-2</v>
      </c>
    </row>
    <row r="163" spans="1:8" x14ac:dyDescent="0.2">
      <c r="A163" s="6">
        <v>162</v>
      </c>
      <c r="B163" s="1" t="s">
        <v>6</v>
      </c>
      <c r="C163" s="1" t="s">
        <v>24</v>
      </c>
      <c r="D163" s="4">
        <v>8.4702999999999999</v>
      </c>
      <c r="E163" s="4">
        <v>0.95499999999999996</v>
      </c>
      <c r="F163" s="4">
        <v>9.4253</v>
      </c>
      <c r="H163" s="68">
        <f t="shared" si="2"/>
        <v>0.10132303481056305</v>
      </c>
    </row>
    <row r="164" spans="1:8" x14ac:dyDescent="0.2">
      <c r="A164" s="6">
        <v>163</v>
      </c>
      <c r="B164" s="1" t="s">
        <v>6</v>
      </c>
      <c r="C164" s="1" t="s">
        <v>25</v>
      </c>
      <c r="D164" s="4">
        <v>0</v>
      </c>
      <c r="E164" s="4">
        <v>62.486309999999996</v>
      </c>
      <c r="F164" s="4">
        <v>62.486309999999996</v>
      </c>
      <c r="H164" s="68">
        <f t="shared" si="2"/>
        <v>1</v>
      </c>
    </row>
    <row r="165" spans="1:8" x14ac:dyDescent="0.2">
      <c r="A165" s="6">
        <v>164</v>
      </c>
      <c r="B165" s="1" t="s">
        <v>6</v>
      </c>
      <c r="C165" s="1" t="s">
        <v>26</v>
      </c>
      <c r="D165" s="4">
        <v>0</v>
      </c>
      <c r="E165" s="4">
        <v>0</v>
      </c>
      <c r="F165" s="4">
        <v>0</v>
      </c>
      <c r="H165" s="68">
        <f t="shared" si="2"/>
        <v>0</v>
      </c>
    </row>
    <row r="166" spans="1:8" x14ac:dyDescent="0.2">
      <c r="A166" s="6">
        <v>165</v>
      </c>
      <c r="B166" s="1" t="s">
        <v>6</v>
      </c>
      <c r="C166" s="1" t="s">
        <v>27</v>
      </c>
      <c r="D166" s="4">
        <v>1931.9647399999997</v>
      </c>
      <c r="E166" s="4">
        <v>107.09048999999999</v>
      </c>
      <c r="F166" s="4">
        <v>2039.0552299999997</v>
      </c>
      <c r="H166" s="68">
        <f t="shared" si="2"/>
        <v>5.2519661274697302E-2</v>
      </c>
    </row>
    <row r="167" spans="1:8" x14ac:dyDescent="0.2">
      <c r="A167" s="6">
        <v>166</v>
      </c>
      <c r="B167" s="1" t="s">
        <v>6</v>
      </c>
      <c r="C167" s="1" t="s">
        <v>28</v>
      </c>
      <c r="D167" s="4">
        <v>11.599430000000002</v>
      </c>
      <c r="E167" s="4">
        <v>562.68556999999998</v>
      </c>
      <c r="F167" s="4">
        <v>574.28499999999997</v>
      </c>
      <c r="H167" s="68">
        <f t="shared" si="2"/>
        <v>0.97980196244025186</v>
      </c>
    </row>
    <row r="168" spans="1:8" x14ac:dyDescent="0.2">
      <c r="A168" s="6">
        <v>167</v>
      </c>
      <c r="B168" s="1" t="s">
        <v>6</v>
      </c>
      <c r="C168" s="1" t="s">
        <v>29</v>
      </c>
      <c r="D168" s="4">
        <v>0</v>
      </c>
      <c r="E168" s="4">
        <v>506.25435999999996</v>
      </c>
      <c r="F168" s="4">
        <v>506.25435999999996</v>
      </c>
      <c r="H168" s="68">
        <f t="shared" si="2"/>
        <v>1</v>
      </c>
    </row>
    <row r="169" spans="1:8" x14ac:dyDescent="0.2">
      <c r="A169" s="6">
        <v>168</v>
      </c>
      <c r="B169" s="1" t="s">
        <v>6</v>
      </c>
      <c r="C169" s="1" t="s">
        <v>30</v>
      </c>
      <c r="D169" s="4">
        <v>0</v>
      </c>
      <c r="E169" s="4">
        <v>49.484729999999999</v>
      </c>
      <c r="F169" s="4">
        <v>49.484729999999999</v>
      </c>
      <c r="H169" s="68">
        <f t="shared" si="2"/>
        <v>1</v>
      </c>
    </row>
    <row r="170" spans="1:8" x14ac:dyDescent="0.2">
      <c r="A170" s="6">
        <v>169</v>
      </c>
      <c r="B170" s="1" t="s">
        <v>6</v>
      </c>
      <c r="C170" s="1" t="s">
        <v>31</v>
      </c>
      <c r="D170" s="4">
        <v>8.3000000000000004E-2</v>
      </c>
      <c r="E170" s="4">
        <v>760.30035999999984</v>
      </c>
      <c r="F170" s="4">
        <v>760.38335999999981</v>
      </c>
      <c r="H170" s="68">
        <f t="shared" si="2"/>
        <v>0.99989084453399935</v>
      </c>
    </row>
    <row r="171" spans="1:8" x14ac:dyDescent="0.2">
      <c r="A171" s="7">
        <v>170</v>
      </c>
      <c r="B171" s="8" t="s">
        <v>6</v>
      </c>
      <c r="C171" s="8" t="s">
        <v>32</v>
      </c>
      <c r="D171" s="9">
        <v>33479.828509999999</v>
      </c>
      <c r="E171" s="9">
        <v>4521.7608099999998</v>
      </c>
      <c r="F171" s="9">
        <v>38001.589319999999</v>
      </c>
      <c r="H171" s="68">
        <f t="shared" si="2"/>
        <v>0.11898872891666731</v>
      </c>
    </row>
    <row r="172" spans="1:8" x14ac:dyDescent="0.2">
      <c r="A172" s="6">
        <v>171</v>
      </c>
      <c r="B172" s="1" t="s">
        <v>6</v>
      </c>
      <c r="C172" s="1" t="s">
        <v>33</v>
      </c>
      <c r="D172" s="4">
        <v>0.58847106203372623</v>
      </c>
      <c r="E172" s="4">
        <v>9.1346957361293918E-2</v>
      </c>
      <c r="F172" s="4">
        <v>0.35717843433970503</v>
      </c>
      <c r="H172" s="68">
        <f t="shared" si="2"/>
        <v>0.2557460041790085</v>
      </c>
    </row>
    <row r="173" spans="1:8" x14ac:dyDescent="0.2">
      <c r="A173" s="6">
        <v>172</v>
      </c>
      <c r="B173" s="1" t="s">
        <v>6</v>
      </c>
      <c r="C173" s="1" t="s">
        <v>34</v>
      </c>
      <c r="D173" s="4">
        <v>0</v>
      </c>
      <c r="E173" s="4">
        <v>479.88264000000009</v>
      </c>
      <c r="F173" s="4">
        <v>479.88264000000009</v>
      </c>
      <c r="H173" s="68">
        <f t="shared" si="2"/>
        <v>1</v>
      </c>
    </row>
    <row r="174" spans="1:8" x14ac:dyDescent="0.2">
      <c r="A174" s="6">
        <v>173</v>
      </c>
      <c r="B174" s="1" t="s">
        <v>6</v>
      </c>
      <c r="C174" s="1" t="s">
        <v>35</v>
      </c>
      <c r="D174" s="4">
        <v>0.38548000000000004</v>
      </c>
      <c r="E174" s="4">
        <v>46.294310000000003</v>
      </c>
      <c r="F174" s="4">
        <v>46.679790000000004</v>
      </c>
      <c r="H174" s="68">
        <f t="shared" si="2"/>
        <v>0.9917420365430093</v>
      </c>
    </row>
    <row r="175" spans="1:8" x14ac:dyDescent="0.2">
      <c r="A175" s="6">
        <v>174</v>
      </c>
      <c r="B175" s="1" t="s">
        <v>6</v>
      </c>
      <c r="C175" s="1" t="s">
        <v>36</v>
      </c>
      <c r="D175" s="4">
        <v>0</v>
      </c>
      <c r="E175" s="4">
        <v>0</v>
      </c>
      <c r="F175" s="4">
        <v>0</v>
      </c>
      <c r="H175" s="68">
        <f t="shared" si="2"/>
        <v>0</v>
      </c>
    </row>
    <row r="176" spans="1:8" x14ac:dyDescent="0.2">
      <c r="A176" s="6">
        <v>175</v>
      </c>
      <c r="B176" s="1" t="s">
        <v>6</v>
      </c>
      <c r="C176" s="1" t="s">
        <v>37</v>
      </c>
      <c r="D176" s="4">
        <v>442.25599999999997</v>
      </c>
      <c r="E176" s="4">
        <v>37.852359999999983</v>
      </c>
      <c r="F176" s="4">
        <v>480.10835999999995</v>
      </c>
      <c r="H176" s="68">
        <f t="shared" si="2"/>
        <v>7.8841284913264142E-2</v>
      </c>
    </row>
    <row r="177" spans="1:8" x14ac:dyDescent="0.2">
      <c r="A177" s="7">
        <v>176</v>
      </c>
      <c r="B177" s="8" t="s">
        <v>6</v>
      </c>
      <c r="C177" s="8" t="s">
        <v>38</v>
      </c>
      <c r="D177" s="9">
        <v>442.64147999999994</v>
      </c>
      <c r="E177" s="9">
        <v>564.02931000000012</v>
      </c>
      <c r="F177" s="9">
        <v>1006.6707900000001</v>
      </c>
      <c r="H177" s="68">
        <f t="shared" si="2"/>
        <v>0.56029172158655771</v>
      </c>
    </row>
    <row r="178" spans="1:8" x14ac:dyDescent="0.2">
      <c r="A178" s="6">
        <v>177</v>
      </c>
      <c r="B178" s="1" t="s">
        <v>6</v>
      </c>
      <c r="C178" s="1" t="s">
        <v>33</v>
      </c>
      <c r="D178" s="4">
        <v>7.7802579471987973E-3</v>
      </c>
      <c r="E178" s="4">
        <v>1.1394313741042408E-2</v>
      </c>
      <c r="F178" s="4">
        <v>9.4617383930960825E-3</v>
      </c>
      <c r="H178" s="68">
        <f t="shared" si="2"/>
        <v>1.2042516150474485</v>
      </c>
    </row>
    <row r="179" spans="1:8" x14ac:dyDescent="0.2">
      <c r="A179" s="6">
        <v>178</v>
      </c>
      <c r="B179" s="1" t="s">
        <v>6</v>
      </c>
      <c r="C179" s="1" t="s">
        <v>39</v>
      </c>
      <c r="D179" s="4">
        <v>0</v>
      </c>
      <c r="E179" s="4">
        <v>73.591560000000001</v>
      </c>
      <c r="F179" s="4">
        <v>73.591560000000001</v>
      </c>
      <c r="H179" s="68">
        <f t="shared" si="2"/>
        <v>1</v>
      </c>
    </row>
    <row r="180" spans="1:8" x14ac:dyDescent="0.2">
      <c r="A180" s="6">
        <v>179</v>
      </c>
      <c r="B180" s="1" t="s">
        <v>6</v>
      </c>
      <c r="C180" s="1" t="s">
        <v>40</v>
      </c>
      <c r="D180" s="4">
        <v>0</v>
      </c>
      <c r="E180" s="4">
        <v>3063.6110099999996</v>
      </c>
      <c r="F180" s="4">
        <v>3063.6110099999996</v>
      </c>
      <c r="H180" s="68">
        <f t="shared" si="2"/>
        <v>1</v>
      </c>
    </row>
    <row r="181" spans="1:8" x14ac:dyDescent="0.2">
      <c r="A181" s="6">
        <v>180</v>
      </c>
      <c r="B181" s="1" t="s">
        <v>6</v>
      </c>
      <c r="C181" s="1" t="s">
        <v>41</v>
      </c>
      <c r="D181" s="4">
        <v>0</v>
      </c>
      <c r="E181" s="4">
        <v>0</v>
      </c>
      <c r="F181" s="4">
        <v>0</v>
      </c>
      <c r="H181" s="68">
        <f t="shared" si="2"/>
        <v>0</v>
      </c>
    </row>
    <row r="182" spans="1:8" x14ac:dyDescent="0.2">
      <c r="A182" s="6">
        <v>181</v>
      </c>
      <c r="B182" s="1" t="s">
        <v>6</v>
      </c>
      <c r="C182" s="1" t="s">
        <v>42</v>
      </c>
      <c r="D182" s="4">
        <v>22.609620000000003</v>
      </c>
      <c r="E182" s="4">
        <v>251.02432000000002</v>
      </c>
      <c r="F182" s="4">
        <v>273.63394</v>
      </c>
      <c r="H182" s="68">
        <f t="shared" si="2"/>
        <v>0.91737274988621664</v>
      </c>
    </row>
    <row r="183" spans="1:8" x14ac:dyDescent="0.2">
      <c r="A183" s="6">
        <v>182</v>
      </c>
      <c r="B183" s="1" t="s">
        <v>6</v>
      </c>
      <c r="C183" s="1" t="s">
        <v>43</v>
      </c>
      <c r="D183" s="4">
        <v>0</v>
      </c>
      <c r="E183" s="4">
        <v>219.48706000000001</v>
      </c>
      <c r="F183" s="4">
        <v>219.48706000000001</v>
      </c>
      <c r="H183" s="68">
        <f t="shared" si="2"/>
        <v>1</v>
      </c>
    </row>
    <row r="184" spans="1:8" x14ac:dyDescent="0.2">
      <c r="A184" s="6">
        <v>183</v>
      </c>
      <c r="B184" s="1" t="s">
        <v>6</v>
      </c>
      <c r="C184" s="1" t="s">
        <v>44</v>
      </c>
      <c r="D184" s="4">
        <v>0</v>
      </c>
      <c r="E184" s="4">
        <v>104.44819</v>
      </c>
      <c r="F184" s="4">
        <v>104.44819</v>
      </c>
      <c r="H184" s="68">
        <f t="shared" si="2"/>
        <v>1</v>
      </c>
    </row>
    <row r="185" spans="1:8" x14ac:dyDescent="0.2">
      <c r="A185" s="7">
        <v>184</v>
      </c>
      <c r="B185" s="8" t="s">
        <v>6</v>
      </c>
      <c r="C185" s="8" t="s">
        <v>45</v>
      </c>
      <c r="D185" s="9">
        <v>22.609620000000003</v>
      </c>
      <c r="E185" s="9">
        <v>3712.1621399999995</v>
      </c>
      <c r="F185" s="9">
        <v>3734.7717599999996</v>
      </c>
      <c r="H185" s="68">
        <f t="shared" si="2"/>
        <v>0.99394618427767056</v>
      </c>
    </row>
    <row r="186" spans="1:8" x14ac:dyDescent="0.2">
      <c r="A186" s="6">
        <v>185</v>
      </c>
      <c r="B186" s="1" t="s">
        <v>6</v>
      </c>
      <c r="C186" s="1" t="s">
        <v>33</v>
      </c>
      <c r="D186" s="4">
        <v>3.9740666800622688E-4</v>
      </c>
      <c r="E186" s="4">
        <v>7.4991741263905898E-2</v>
      </c>
      <c r="F186" s="4">
        <v>3.5103266829708074E-2</v>
      </c>
      <c r="H186" s="68">
        <f t="shared" si="2"/>
        <v>2.1363180135827133</v>
      </c>
    </row>
    <row r="187" spans="1:8" x14ac:dyDescent="0.2">
      <c r="A187" s="6">
        <v>186</v>
      </c>
      <c r="B187" s="1" t="s">
        <v>6</v>
      </c>
      <c r="C187" s="1" t="s">
        <v>46</v>
      </c>
      <c r="D187" s="4">
        <v>211.86465000000001</v>
      </c>
      <c r="E187" s="4">
        <v>0</v>
      </c>
      <c r="F187" s="4">
        <v>211.86465000000001</v>
      </c>
      <c r="H187" s="68">
        <f t="shared" si="2"/>
        <v>0</v>
      </c>
    </row>
    <row r="188" spans="1:8" x14ac:dyDescent="0.2">
      <c r="A188" s="6">
        <v>187</v>
      </c>
      <c r="B188" s="1" t="s">
        <v>6</v>
      </c>
      <c r="C188" s="1" t="s">
        <v>47</v>
      </c>
      <c r="D188" s="4">
        <v>2115.3030099999996</v>
      </c>
      <c r="E188" s="4">
        <v>0</v>
      </c>
      <c r="F188" s="4">
        <v>2115.3030099999996</v>
      </c>
      <c r="H188" s="68">
        <f t="shared" si="2"/>
        <v>0</v>
      </c>
    </row>
    <row r="189" spans="1:8" x14ac:dyDescent="0.2">
      <c r="A189" s="6">
        <v>188</v>
      </c>
      <c r="B189" s="1" t="s">
        <v>6</v>
      </c>
      <c r="C189" s="1" t="s">
        <v>48</v>
      </c>
      <c r="D189" s="4">
        <v>0</v>
      </c>
      <c r="E189" s="4">
        <v>0</v>
      </c>
      <c r="F189" s="4">
        <v>0</v>
      </c>
      <c r="H189" s="68">
        <f t="shared" si="2"/>
        <v>0</v>
      </c>
    </row>
    <row r="190" spans="1:8" x14ac:dyDescent="0.2">
      <c r="A190" s="6">
        <v>189</v>
      </c>
      <c r="B190" s="1" t="s">
        <v>6</v>
      </c>
      <c r="C190" s="1" t="s">
        <v>49</v>
      </c>
      <c r="D190" s="4">
        <v>0</v>
      </c>
      <c r="E190" s="4">
        <v>0</v>
      </c>
      <c r="F190" s="4">
        <v>0</v>
      </c>
      <c r="H190" s="68">
        <f t="shared" si="2"/>
        <v>0</v>
      </c>
    </row>
    <row r="191" spans="1:8" x14ac:dyDescent="0.2">
      <c r="A191" s="6">
        <v>190</v>
      </c>
      <c r="B191" s="1" t="s">
        <v>6</v>
      </c>
      <c r="C191" s="1" t="s">
        <v>50</v>
      </c>
      <c r="D191" s="4">
        <v>704.08244000000002</v>
      </c>
      <c r="E191" s="4">
        <v>0</v>
      </c>
      <c r="F191" s="4">
        <v>704.08244000000002</v>
      </c>
      <c r="H191" s="68">
        <f t="shared" si="2"/>
        <v>0</v>
      </c>
    </row>
    <row r="192" spans="1:8" x14ac:dyDescent="0.2">
      <c r="A192" s="7">
        <v>191</v>
      </c>
      <c r="B192" s="8" t="s">
        <v>6</v>
      </c>
      <c r="C192" s="8" t="s">
        <v>51</v>
      </c>
      <c r="D192" s="9">
        <v>3031.2500999999997</v>
      </c>
      <c r="E192" s="9">
        <v>0</v>
      </c>
      <c r="F192" s="9">
        <v>3031.2500999999997</v>
      </c>
      <c r="H192" s="68">
        <f t="shared" si="2"/>
        <v>0</v>
      </c>
    </row>
    <row r="193" spans="1:8" x14ac:dyDescent="0.2">
      <c r="A193" s="6">
        <v>192</v>
      </c>
      <c r="B193" s="1" t="s">
        <v>6</v>
      </c>
      <c r="C193" s="1" t="s">
        <v>33</v>
      </c>
      <c r="D193" s="4">
        <v>5.327993138029484E-2</v>
      </c>
      <c r="E193" s="4">
        <v>0</v>
      </c>
      <c r="F193" s="4">
        <v>2.8490839046046358E-2</v>
      </c>
      <c r="H193" s="68">
        <f t="shared" si="2"/>
        <v>0</v>
      </c>
    </row>
    <row r="194" spans="1:8" x14ac:dyDescent="0.2">
      <c r="A194" s="6">
        <v>193</v>
      </c>
      <c r="B194" s="1" t="s">
        <v>6</v>
      </c>
      <c r="C194" s="1" t="s">
        <v>52</v>
      </c>
      <c r="D194" s="4">
        <v>0</v>
      </c>
      <c r="E194" s="4">
        <v>930.54674999999952</v>
      </c>
      <c r="F194" s="4">
        <v>930.54674999999952</v>
      </c>
      <c r="H194" s="68">
        <f t="shared" si="2"/>
        <v>1</v>
      </c>
    </row>
    <row r="195" spans="1:8" x14ac:dyDescent="0.2">
      <c r="A195" s="6">
        <v>194</v>
      </c>
      <c r="B195" s="1" t="s">
        <v>6</v>
      </c>
      <c r="C195" s="1" t="s">
        <v>53</v>
      </c>
      <c r="D195" s="4">
        <v>0</v>
      </c>
      <c r="E195" s="4">
        <v>890.82078999999999</v>
      </c>
      <c r="F195" s="4">
        <v>890.82078999999999</v>
      </c>
      <c r="H195" s="68">
        <f t="shared" ref="H195:H258" si="3">IFERROR(E195/F195,0)</f>
        <v>1</v>
      </c>
    </row>
    <row r="196" spans="1:8" x14ac:dyDescent="0.2">
      <c r="A196" s="6">
        <v>195</v>
      </c>
      <c r="B196" s="1" t="s">
        <v>6</v>
      </c>
      <c r="C196" s="1" t="s">
        <v>54</v>
      </c>
      <c r="D196" s="4">
        <v>699.08564999999987</v>
      </c>
      <c r="E196" s="4">
        <v>767.52566999999988</v>
      </c>
      <c r="F196" s="4">
        <v>1466.6113199999998</v>
      </c>
      <c r="H196" s="68">
        <f t="shared" si="3"/>
        <v>0.52333270549145905</v>
      </c>
    </row>
    <row r="197" spans="1:8" x14ac:dyDescent="0.2">
      <c r="A197" s="6">
        <v>196</v>
      </c>
      <c r="B197" s="1" t="s">
        <v>6</v>
      </c>
      <c r="C197" s="1" t="s">
        <v>55</v>
      </c>
      <c r="D197" s="4">
        <v>549.94551999999999</v>
      </c>
      <c r="E197" s="4">
        <v>80.804540000000031</v>
      </c>
      <c r="F197" s="4">
        <v>630.75006000000008</v>
      </c>
      <c r="H197" s="68">
        <f t="shared" si="3"/>
        <v>0.12810865210222894</v>
      </c>
    </row>
    <row r="198" spans="1:8" x14ac:dyDescent="0.2">
      <c r="A198" s="6">
        <v>197</v>
      </c>
      <c r="B198" s="1" t="s">
        <v>6</v>
      </c>
      <c r="C198" s="1" t="s">
        <v>56</v>
      </c>
      <c r="D198" s="4">
        <v>0</v>
      </c>
      <c r="E198" s="4">
        <v>25453.44744</v>
      </c>
      <c r="F198" s="4">
        <v>25453.44744</v>
      </c>
      <c r="H198" s="68">
        <f t="shared" si="3"/>
        <v>1</v>
      </c>
    </row>
    <row r="199" spans="1:8" x14ac:dyDescent="0.2">
      <c r="A199" s="6">
        <v>198</v>
      </c>
      <c r="B199" s="1" t="s">
        <v>6</v>
      </c>
      <c r="C199" s="1" t="s">
        <v>57</v>
      </c>
      <c r="D199" s="4">
        <v>0</v>
      </c>
      <c r="E199" s="4">
        <v>964.33597000000009</v>
      </c>
      <c r="F199" s="4">
        <v>964.33597000000009</v>
      </c>
      <c r="H199" s="68">
        <f t="shared" si="3"/>
        <v>1</v>
      </c>
    </row>
    <row r="200" spans="1:8" x14ac:dyDescent="0.2">
      <c r="A200" s="6">
        <v>199</v>
      </c>
      <c r="B200" s="1" t="s">
        <v>6</v>
      </c>
      <c r="C200" s="1" t="s">
        <v>58</v>
      </c>
      <c r="D200" s="4">
        <v>425.11678000000001</v>
      </c>
      <c r="E200" s="4">
        <v>601.32082000000003</v>
      </c>
      <c r="F200" s="4">
        <v>1026.4376</v>
      </c>
      <c r="H200" s="68">
        <f t="shared" si="3"/>
        <v>0.58583280659243198</v>
      </c>
    </row>
    <row r="201" spans="1:8" x14ac:dyDescent="0.2">
      <c r="A201" s="7">
        <v>200</v>
      </c>
      <c r="B201" s="8" t="s">
        <v>6</v>
      </c>
      <c r="C201" s="8" t="s">
        <v>59</v>
      </c>
      <c r="D201" s="9">
        <v>1674.1479499999998</v>
      </c>
      <c r="E201" s="9">
        <v>29688.80198</v>
      </c>
      <c r="F201" s="9">
        <v>31362.949929999999</v>
      </c>
      <c r="H201" s="68">
        <f t="shared" si="3"/>
        <v>0.94662020142440095</v>
      </c>
    </row>
    <row r="202" spans="1:8" x14ac:dyDescent="0.2">
      <c r="A202" s="6">
        <v>201</v>
      </c>
      <c r="B202" s="1" t="s">
        <v>6</v>
      </c>
      <c r="C202" s="1" t="s">
        <v>33</v>
      </c>
      <c r="D202" s="4">
        <v>2.9426304314665842E-2</v>
      </c>
      <c r="E202" s="4">
        <v>0.59976231440135785</v>
      </c>
      <c r="F202" s="4">
        <v>0.29478160131519365</v>
      </c>
      <c r="H202" s="68">
        <f t="shared" si="3"/>
        <v>2.0345988749822457</v>
      </c>
    </row>
    <row r="203" spans="1:8" x14ac:dyDescent="0.2">
      <c r="A203" s="6">
        <v>202</v>
      </c>
      <c r="B203" s="1" t="s">
        <v>6</v>
      </c>
      <c r="C203" s="1" t="s">
        <v>60</v>
      </c>
      <c r="D203" s="4">
        <v>3344.0457099999971</v>
      </c>
      <c r="E203" s="4">
        <v>208.70302000000049</v>
      </c>
      <c r="F203" s="4">
        <v>3552.7487299999975</v>
      </c>
      <c r="H203" s="68">
        <f t="shared" si="3"/>
        <v>5.8744098122582578E-2</v>
      </c>
    </row>
    <row r="204" spans="1:8" x14ac:dyDescent="0.2">
      <c r="A204" s="6">
        <v>203</v>
      </c>
      <c r="B204" s="1" t="s">
        <v>6</v>
      </c>
      <c r="C204" s="1" t="s">
        <v>61</v>
      </c>
      <c r="D204" s="4">
        <v>1569.2517999999995</v>
      </c>
      <c r="E204" s="4">
        <v>118.97219999999996</v>
      </c>
      <c r="F204" s="4">
        <v>1688.2239999999995</v>
      </c>
      <c r="H204" s="68">
        <f t="shared" si="3"/>
        <v>7.0471809428132762E-2</v>
      </c>
    </row>
    <row r="205" spans="1:8" x14ac:dyDescent="0.2">
      <c r="A205" s="6">
        <v>204</v>
      </c>
      <c r="B205" s="1" t="s">
        <v>6</v>
      </c>
      <c r="C205" s="1" t="s">
        <v>62</v>
      </c>
      <c r="D205" s="4">
        <v>4075.0660900000021</v>
      </c>
      <c r="E205" s="4">
        <v>2214.5412799999995</v>
      </c>
      <c r="F205" s="4">
        <v>6289.6073700000015</v>
      </c>
      <c r="H205" s="68">
        <f t="shared" si="3"/>
        <v>0.35209531370159264</v>
      </c>
    </row>
    <row r="206" spans="1:8" x14ac:dyDescent="0.2">
      <c r="A206" s="6">
        <v>205</v>
      </c>
      <c r="B206" s="1" t="s">
        <v>6</v>
      </c>
      <c r="C206" s="1" t="s">
        <v>63</v>
      </c>
      <c r="D206" s="4">
        <v>0</v>
      </c>
      <c r="E206" s="4">
        <v>392.96155000000005</v>
      </c>
      <c r="F206" s="4">
        <v>392.96155000000005</v>
      </c>
      <c r="H206" s="68">
        <f t="shared" si="3"/>
        <v>1</v>
      </c>
    </row>
    <row r="207" spans="1:8" x14ac:dyDescent="0.2">
      <c r="A207" s="6">
        <v>206</v>
      </c>
      <c r="B207" s="1" t="s">
        <v>6</v>
      </c>
      <c r="C207" s="1" t="s">
        <v>64</v>
      </c>
      <c r="D207" s="4">
        <v>2515.7589399999993</v>
      </c>
      <c r="E207" s="4">
        <v>2.8275000000000001</v>
      </c>
      <c r="F207" s="4">
        <v>2518.5864399999991</v>
      </c>
      <c r="H207" s="68">
        <f t="shared" si="3"/>
        <v>1.1226535468840217E-3</v>
      </c>
    </row>
    <row r="208" spans="1:8" x14ac:dyDescent="0.2">
      <c r="A208" s="7">
        <v>207</v>
      </c>
      <c r="B208" s="8" t="s">
        <v>6</v>
      </c>
      <c r="C208" s="8" t="s">
        <v>65</v>
      </c>
      <c r="D208" s="9">
        <v>11504.122539999998</v>
      </c>
      <c r="E208" s="9">
        <v>2938.0055499999999</v>
      </c>
      <c r="F208" s="9">
        <v>14442.128089999998</v>
      </c>
      <c r="H208" s="68">
        <f t="shared" si="3"/>
        <v>0.20343300735812822</v>
      </c>
    </row>
    <row r="209" spans="1:8" x14ac:dyDescent="0.2">
      <c r="A209" s="6">
        <v>208</v>
      </c>
      <c r="B209" s="1" t="s">
        <v>6</v>
      </c>
      <c r="C209" s="1" t="s">
        <v>33</v>
      </c>
      <c r="D209" s="4">
        <v>0.20220662739828135</v>
      </c>
      <c r="E209" s="4">
        <v>5.935251309834208E-2</v>
      </c>
      <c r="F209" s="4">
        <v>0.13574213057991319</v>
      </c>
      <c r="H209" s="68">
        <f t="shared" si="3"/>
        <v>0.43724459638859486</v>
      </c>
    </row>
    <row r="210" spans="1:8" x14ac:dyDescent="0.2">
      <c r="A210" s="6">
        <v>209</v>
      </c>
      <c r="B210" s="1" t="s">
        <v>6</v>
      </c>
      <c r="C210" s="1" t="s">
        <v>66</v>
      </c>
      <c r="D210" s="4">
        <v>4223.9693999999981</v>
      </c>
      <c r="E210" s="4">
        <v>15.34328</v>
      </c>
      <c r="F210" s="4">
        <v>4239.3126799999982</v>
      </c>
      <c r="H210" s="68">
        <f t="shared" si="3"/>
        <v>3.6192848129334037E-3</v>
      </c>
    </row>
    <row r="211" spans="1:8" x14ac:dyDescent="0.2">
      <c r="A211" s="6">
        <v>210</v>
      </c>
      <c r="B211" s="1" t="s">
        <v>6</v>
      </c>
      <c r="C211" s="1" t="s">
        <v>67</v>
      </c>
      <c r="D211" s="4">
        <v>0</v>
      </c>
      <c r="E211" s="4">
        <v>2.8546999999999998</v>
      </c>
      <c r="F211" s="4">
        <v>2.8546999999999998</v>
      </c>
      <c r="H211" s="68">
        <f t="shared" si="3"/>
        <v>1</v>
      </c>
    </row>
    <row r="212" spans="1:8" x14ac:dyDescent="0.2">
      <c r="A212" s="6">
        <v>211</v>
      </c>
      <c r="B212" s="1" t="s">
        <v>6</v>
      </c>
      <c r="C212" s="1" t="s">
        <v>68</v>
      </c>
      <c r="D212" s="4">
        <v>16.485199999999999</v>
      </c>
      <c r="E212" s="4">
        <v>0</v>
      </c>
      <c r="F212" s="4">
        <v>16.485199999999999</v>
      </c>
      <c r="H212" s="68">
        <f t="shared" si="3"/>
        <v>0</v>
      </c>
    </row>
    <row r="213" spans="1:8" x14ac:dyDescent="0.2">
      <c r="A213" s="6">
        <v>212</v>
      </c>
      <c r="B213" s="1" t="s">
        <v>6</v>
      </c>
      <c r="C213" s="1" t="s">
        <v>69</v>
      </c>
      <c r="D213" s="4">
        <v>0</v>
      </c>
      <c r="E213" s="4">
        <v>0</v>
      </c>
      <c r="F213" s="4">
        <v>0</v>
      </c>
      <c r="H213" s="68">
        <f t="shared" si="3"/>
        <v>0</v>
      </c>
    </row>
    <row r="214" spans="1:8" x14ac:dyDescent="0.2">
      <c r="A214" s="6">
        <v>213</v>
      </c>
      <c r="B214" s="1" t="s">
        <v>6</v>
      </c>
      <c r="C214" s="1" t="s">
        <v>70</v>
      </c>
      <c r="D214" s="4">
        <v>1261.2550200000001</v>
      </c>
      <c r="E214" s="4">
        <v>0</v>
      </c>
      <c r="F214" s="4">
        <v>1261.2550200000001</v>
      </c>
      <c r="H214" s="68">
        <f t="shared" si="3"/>
        <v>0</v>
      </c>
    </row>
    <row r="215" spans="1:8" x14ac:dyDescent="0.2">
      <c r="A215" s="6">
        <v>214</v>
      </c>
      <c r="B215" s="1" t="s">
        <v>6</v>
      </c>
      <c r="C215" s="1" t="s">
        <v>71</v>
      </c>
      <c r="D215" s="4">
        <v>0</v>
      </c>
      <c r="E215" s="4">
        <v>10.755040000000001</v>
      </c>
      <c r="F215" s="4">
        <v>10.755040000000001</v>
      </c>
      <c r="H215" s="68">
        <f t="shared" si="3"/>
        <v>1</v>
      </c>
    </row>
    <row r="216" spans="1:8" x14ac:dyDescent="0.2">
      <c r="A216" s="6">
        <v>215</v>
      </c>
      <c r="B216" s="1" t="s">
        <v>6</v>
      </c>
      <c r="C216" s="1" t="s">
        <v>72</v>
      </c>
      <c r="D216" s="4">
        <v>1235.0988500000001</v>
      </c>
      <c r="E216" s="4">
        <v>0</v>
      </c>
      <c r="F216" s="4">
        <v>1235.0988500000001</v>
      </c>
      <c r="H216" s="68">
        <f t="shared" si="3"/>
        <v>0</v>
      </c>
    </row>
    <row r="217" spans="1:8" x14ac:dyDescent="0.2">
      <c r="A217" s="6">
        <v>216</v>
      </c>
      <c r="B217" s="1" t="s">
        <v>6</v>
      </c>
      <c r="C217" s="1" t="s">
        <v>73</v>
      </c>
      <c r="D217" s="4">
        <v>0</v>
      </c>
      <c r="E217" s="4">
        <v>6026.1748499999994</v>
      </c>
      <c r="F217" s="4">
        <v>6026.1748499999994</v>
      </c>
      <c r="H217" s="68">
        <f t="shared" si="3"/>
        <v>1</v>
      </c>
    </row>
    <row r="218" spans="1:8" x14ac:dyDescent="0.2">
      <c r="A218" s="6">
        <v>217</v>
      </c>
      <c r="B218" s="1" t="s">
        <v>6</v>
      </c>
      <c r="C218" s="1" t="s">
        <v>74</v>
      </c>
      <c r="D218" s="4">
        <v>1.49681</v>
      </c>
      <c r="E218" s="4">
        <v>35.348320000000001</v>
      </c>
      <c r="F218" s="4">
        <v>36.845129999999997</v>
      </c>
      <c r="H218" s="68">
        <f t="shared" si="3"/>
        <v>0.95937563526034519</v>
      </c>
    </row>
    <row r="219" spans="1:8" x14ac:dyDescent="0.2">
      <c r="A219" s="6">
        <v>218</v>
      </c>
      <c r="B219" s="1" t="s">
        <v>6</v>
      </c>
      <c r="C219" s="1" t="s">
        <v>75</v>
      </c>
      <c r="D219" s="4">
        <v>0</v>
      </c>
      <c r="E219" s="4">
        <v>0</v>
      </c>
      <c r="F219" s="4">
        <v>0</v>
      </c>
      <c r="H219" s="68">
        <f t="shared" si="3"/>
        <v>0</v>
      </c>
    </row>
    <row r="220" spans="1:8" x14ac:dyDescent="0.2">
      <c r="A220" s="6">
        <v>219</v>
      </c>
      <c r="B220" s="1" t="s">
        <v>6</v>
      </c>
      <c r="C220" s="1" t="s">
        <v>76</v>
      </c>
      <c r="D220" s="4">
        <v>0</v>
      </c>
      <c r="E220" s="4">
        <v>75.707440000000005</v>
      </c>
      <c r="F220" s="4">
        <v>75.707440000000005</v>
      </c>
      <c r="H220" s="68">
        <f t="shared" si="3"/>
        <v>1</v>
      </c>
    </row>
    <row r="221" spans="1:8" x14ac:dyDescent="0.2">
      <c r="A221" s="6">
        <v>220</v>
      </c>
      <c r="B221" s="1" t="s">
        <v>6</v>
      </c>
      <c r="C221" s="1" t="s">
        <v>77</v>
      </c>
      <c r="D221" s="4">
        <v>0</v>
      </c>
      <c r="E221" s="4">
        <v>0</v>
      </c>
      <c r="F221" s="4">
        <v>0</v>
      </c>
      <c r="H221" s="68">
        <f t="shared" si="3"/>
        <v>0</v>
      </c>
    </row>
    <row r="222" spans="1:8" x14ac:dyDescent="0.2">
      <c r="A222" s="6">
        <v>221</v>
      </c>
      <c r="B222" s="1" t="s">
        <v>6</v>
      </c>
      <c r="C222" s="1" t="s">
        <v>78</v>
      </c>
      <c r="D222" s="4">
        <v>0</v>
      </c>
      <c r="E222" s="4">
        <v>0</v>
      </c>
      <c r="F222" s="4">
        <v>0</v>
      </c>
      <c r="H222" s="68">
        <f t="shared" si="3"/>
        <v>0</v>
      </c>
    </row>
    <row r="223" spans="1:8" x14ac:dyDescent="0.2">
      <c r="A223" s="7">
        <v>222</v>
      </c>
      <c r="B223" s="8" t="s">
        <v>6</v>
      </c>
      <c r="C223" s="8" t="s">
        <v>79</v>
      </c>
      <c r="D223" s="9">
        <v>6738.3052799999978</v>
      </c>
      <c r="E223" s="9">
        <v>6166.1836299999995</v>
      </c>
      <c r="F223" s="9">
        <v>12904.488909999996</v>
      </c>
      <c r="H223" s="68">
        <f t="shared" si="3"/>
        <v>0.47783245605501484</v>
      </c>
    </row>
    <row r="224" spans="1:8" x14ac:dyDescent="0.2">
      <c r="A224" s="6">
        <v>223</v>
      </c>
      <c r="B224" s="1" t="s">
        <v>6</v>
      </c>
      <c r="C224" s="1" t="s">
        <v>33</v>
      </c>
      <c r="D224" s="4">
        <v>0.11843841025782673</v>
      </c>
      <c r="E224" s="4">
        <v>0.12456698547297078</v>
      </c>
      <c r="F224" s="4">
        <v>0.12128979938220873</v>
      </c>
      <c r="H224" s="68">
        <f t="shared" si="3"/>
        <v>1.0270194699591759</v>
      </c>
    </row>
    <row r="225" spans="1:8" x14ac:dyDescent="0.2">
      <c r="A225" s="6">
        <v>224</v>
      </c>
      <c r="B225" s="1" t="s">
        <v>6</v>
      </c>
      <c r="C225" s="1" t="s">
        <v>80</v>
      </c>
      <c r="D225" s="4">
        <v>0</v>
      </c>
      <c r="E225" s="4">
        <v>964.96776</v>
      </c>
      <c r="F225" s="4">
        <v>964.96776</v>
      </c>
      <c r="H225" s="68">
        <f t="shared" si="3"/>
        <v>1</v>
      </c>
    </row>
    <row r="226" spans="1:8" x14ac:dyDescent="0.2">
      <c r="A226" s="6">
        <v>225</v>
      </c>
      <c r="B226" s="1" t="s">
        <v>6</v>
      </c>
      <c r="C226" s="1" t="s">
        <v>81</v>
      </c>
      <c r="D226" s="4">
        <v>0</v>
      </c>
      <c r="E226" s="4">
        <v>12.52877</v>
      </c>
      <c r="F226" s="4">
        <v>12.52877</v>
      </c>
      <c r="H226" s="68">
        <f t="shared" si="3"/>
        <v>1</v>
      </c>
    </row>
    <row r="227" spans="1:8" x14ac:dyDescent="0.2">
      <c r="A227" s="6">
        <v>226</v>
      </c>
      <c r="B227" s="1" t="s">
        <v>6</v>
      </c>
      <c r="C227" s="1" t="s">
        <v>82</v>
      </c>
      <c r="D227" s="4">
        <v>0</v>
      </c>
      <c r="E227" s="4">
        <v>18.337490000000003</v>
      </c>
      <c r="F227" s="4">
        <v>18.337490000000003</v>
      </c>
      <c r="H227" s="68">
        <f t="shared" si="3"/>
        <v>1</v>
      </c>
    </row>
    <row r="228" spans="1:8" x14ac:dyDescent="0.2">
      <c r="A228" s="6">
        <v>227</v>
      </c>
      <c r="B228" s="1" t="s">
        <v>6</v>
      </c>
      <c r="C228" s="1" t="s">
        <v>83</v>
      </c>
      <c r="D228" s="4">
        <v>0</v>
      </c>
      <c r="E228" s="4">
        <v>0</v>
      </c>
      <c r="F228" s="4">
        <v>0</v>
      </c>
      <c r="H228" s="68">
        <f t="shared" si="3"/>
        <v>0</v>
      </c>
    </row>
    <row r="229" spans="1:8" x14ac:dyDescent="0.2">
      <c r="A229" s="6">
        <v>228</v>
      </c>
      <c r="B229" s="1" t="s">
        <v>6</v>
      </c>
      <c r="C229" s="1" t="s">
        <v>84</v>
      </c>
      <c r="D229" s="4">
        <v>0</v>
      </c>
      <c r="E229" s="4">
        <v>914.16862999999989</v>
      </c>
      <c r="F229" s="4">
        <v>914.16862999999989</v>
      </c>
      <c r="H229" s="68">
        <f t="shared" si="3"/>
        <v>1</v>
      </c>
    </row>
    <row r="230" spans="1:8" x14ac:dyDescent="0.2">
      <c r="A230" s="6">
        <v>229</v>
      </c>
      <c r="B230" s="1" t="s">
        <v>6</v>
      </c>
      <c r="C230" s="1" t="s">
        <v>85</v>
      </c>
      <c r="D230" s="4">
        <v>0</v>
      </c>
      <c r="E230" s="4">
        <v>0</v>
      </c>
      <c r="F230" s="4">
        <v>0</v>
      </c>
      <c r="H230" s="68">
        <f t="shared" si="3"/>
        <v>0</v>
      </c>
    </row>
    <row r="231" spans="1:8" x14ac:dyDescent="0.2">
      <c r="A231" s="7">
        <v>230</v>
      </c>
      <c r="B231" s="8" t="s">
        <v>6</v>
      </c>
      <c r="C231" s="8" t="s">
        <v>86</v>
      </c>
      <c r="D231" s="9">
        <v>0</v>
      </c>
      <c r="E231" s="9">
        <v>1910.0026499999999</v>
      </c>
      <c r="F231" s="9">
        <v>1910.0026499999999</v>
      </c>
      <c r="H231" s="68">
        <f t="shared" si="3"/>
        <v>1</v>
      </c>
    </row>
    <row r="232" spans="1:8" x14ac:dyDescent="0.2">
      <c r="A232" s="6">
        <v>231</v>
      </c>
      <c r="B232" s="1" t="s">
        <v>6</v>
      </c>
      <c r="C232" s="1" t="s">
        <v>33</v>
      </c>
      <c r="D232" s="4">
        <v>0</v>
      </c>
      <c r="E232" s="4">
        <v>3.8585174661087039E-2</v>
      </c>
      <c r="F232" s="4">
        <v>1.7952190114128828E-2</v>
      </c>
      <c r="H232" s="68">
        <f t="shared" si="3"/>
        <v>2.1493296592664497</v>
      </c>
    </row>
    <row r="233" spans="1:8" x14ac:dyDescent="0.2">
      <c r="A233" s="6">
        <v>232</v>
      </c>
      <c r="B233" s="1" t="s">
        <v>6</v>
      </c>
      <c r="C233" s="1" t="s">
        <v>87</v>
      </c>
      <c r="D233" s="4">
        <v>0</v>
      </c>
      <c r="E233" s="4">
        <v>0</v>
      </c>
      <c r="F233" s="4">
        <v>0</v>
      </c>
      <c r="H233" s="68">
        <f t="shared" si="3"/>
        <v>0</v>
      </c>
    </row>
    <row r="234" spans="1:8" x14ac:dyDescent="0.2">
      <c r="A234" s="6">
        <v>233</v>
      </c>
      <c r="B234" s="1" t="s">
        <v>6</v>
      </c>
      <c r="C234" s="1" t="s">
        <v>88</v>
      </c>
      <c r="D234" s="4">
        <v>0</v>
      </c>
      <c r="E234" s="4">
        <v>0</v>
      </c>
      <c r="F234" s="4">
        <v>0</v>
      </c>
      <c r="H234" s="68">
        <f t="shared" si="3"/>
        <v>0</v>
      </c>
    </row>
    <row r="235" spans="1:8" x14ac:dyDescent="0.2">
      <c r="A235" s="7">
        <v>234</v>
      </c>
      <c r="B235" s="8" t="s">
        <v>6</v>
      </c>
      <c r="C235" s="8" t="s">
        <v>89</v>
      </c>
      <c r="D235" s="9">
        <v>0</v>
      </c>
      <c r="E235" s="9">
        <v>0</v>
      </c>
      <c r="F235" s="9">
        <v>0</v>
      </c>
      <c r="H235" s="68">
        <f t="shared" si="3"/>
        <v>0</v>
      </c>
    </row>
    <row r="236" spans="1:8" x14ac:dyDescent="0.2">
      <c r="A236" s="6">
        <v>235</v>
      </c>
      <c r="B236" s="1" t="s">
        <v>6</v>
      </c>
      <c r="C236" s="1" t="s">
        <v>33</v>
      </c>
      <c r="D236" s="4">
        <v>0</v>
      </c>
      <c r="E236" s="4">
        <v>0</v>
      </c>
      <c r="F236" s="4">
        <v>0</v>
      </c>
      <c r="H236" s="68">
        <f t="shared" si="3"/>
        <v>0</v>
      </c>
    </row>
    <row r="237" spans="1:8" x14ac:dyDescent="0.2">
      <c r="A237" s="6">
        <v>236</v>
      </c>
      <c r="B237" s="1" t="s">
        <v>6</v>
      </c>
      <c r="C237" s="1" t="s">
        <v>90</v>
      </c>
      <c r="D237" s="4">
        <v>0</v>
      </c>
      <c r="E237" s="4">
        <v>0</v>
      </c>
      <c r="F237" s="4">
        <v>0</v>
      </c>
      <c r="H237" s="68">
        <f t="shared" si="3"/>
        <v>0</v>
      </c>
    </row>
    <row r="238" spans="1:8" x14ac:dyDescent="0.2">
      <c r="A238" s="6">
        <v>237</v>
      </c>
      <c r="B238" s="1" t="s">
        <v>6</v>
      </c>
      <c r="C238" s="1" t="s">
        <v>33</v>
      </c>
      <c r="D238" s="4">
        <v>0</v>
      </c>
      <c r="E238" s="4">
        <v>0</v>
      </c>
      <c r="F238" s="4">
        <v>0</v>
      </c>
      <c r="H238" s="68">
        <f t="shared" si="3"/>
        <v>0</v>
      </c>
    </row>
    <row r="239" spans="1:8" x14ac:dyDescent="0.2">
      <c r="A239" s="6">
        <v>238</v>
      </c>
      <c r="B239" s="1" t="s">
        <v>6</v>
      </c>
      <c r="C239" s="1" t="s">
        <v>91</v>
      </c>
      <c r="D239" s="4">
        <v>0</v>
      </c>
      <c r="E239" s="4">
        <v>0</v>
      </c>
      <c r="F239" s="4">
        <v>0</v>
      </c>
      <c r="H239" s="68">
        <f t="shared" si="3"/>
        <v>0</v>
      </c>
    </row>
    <row r="240" spans="1:8" x14ac:dyDescent="0.2">
      <c r="A240" s="6">
        <v>239</v>
      </c>
      <c r="B240" s="1" t="s">
        <v>6</v>
      </c>
      <c r="C240" s="1" t="s">
        <v>33</v>
      </c>
      <c r="D240" s="4">
        <v>0</v>
      </c>
      <c r="E240" s="4">
        <v>0</v>
      </c>
      <c r="F240" s="4">
        <v>0</v>
      </c>
      <c r="H240" s="68">
        <f t="shared" si="3"/>
        <v>0</v>
      </c>
    </row>
    <row r="241" spans="1:8" x14ac:dyDescent="0.2">
      <c r="A241" s="10">
        <v>240</v>
      </c>
      <c r="B241" s="11" t="s">
        <v>6</v>
      </c>
      <c r="C241" s="11" t="s">
        <v>2</v>
      </c>
      <c r="D241" s="12">
        <v>56892.905479999994</v>
      </c>
      <c r="E241" s="12">
        <v>49500.946069999998</v>
      </c>
      <c r="F241" s="12">
        <v>106393.85154999999</v>
      </c>
      <c r="H241" s="68">
        <f t="shared" si="3"/>
        <v>0.46526134122268276</v>
      </c>
    </row>
    <row r="242" spans="1:8" x14ac:dyDescent="0.2">
      <c r="A242" s="6">
        <v>241</v>
      </c>
      <c r="B242" s="1" t="s">
        <v>7</v>
      </c>
      <c r="C242" s="1" t="s">
        <v>23</v>
      </c>
      <c r="D242" s="4">
        <v>80981.3</v>
      </c>
      <c r="E242" s="4">
        <v>1267.0999999999999</v>
      </c>
      <c r="F242" s="4">
        <v>82248.400000000009</v>
      </c>
      <c r="H242" s="68">
        <f t="shared" si="3"/>
        <v>1.5405770811347088E-2</v>
      </c>
    </row>
    <row r="243" spans="1:8" x14ac:dyDescent="0.2">
      <c r="A243" s="6">
        <v>242</v>
      </c>
      <c r="B243" s="1" t="s">
        <v>7</v>
      </c>
      <c r="C243" s="1" t="s">
        <v>24</v>
      </c>
      <c r="D243" s="4">
        <v>52.3</v>
      </c>
      <c r="E243" s="4">
        <v>0</v>
      </c>
      <c r="F243" s="4">
        <v>52.3</v>
      </c>
      <c r="H243" s="68">
        <f t="shared" si="3"/>
        <v>0</v>
      </c>
    </row>
    <row r="244" spans="1:8" x14ac:dyDescent="0.2">
      <c r="A244" s="6">
        <v>243</v>
      </c>
      <c r="B244" s="1" t="s">
        <v>7</v>
      </c>
      <c r="C244" s="1" t="s">
        <v>25</v>
      </c>
      <c r="D244" s="4">
        <v>139.9</v>
      </c>
      <c r="E244" s="4">
        <v>0</v>
      </c>
      <c r="F244" s="4">
        <v>139.9</v>
      </c>
      <c r="H244" s="68">
        <f t="shared" si="3"/>
        <v>0</v>
      </c>
    </row>
    <row r="245" spans="1:8" x14ac:dyDescent="0.2">
      <c r="A245" s="6">
        <v>244</v>
      </c>
      <c r="B245" s="1" t="s">
        <v>7</v>
      </c>
      <c r="C245" s="1" t="s">
        <v>26</v>
      </c>
      <c r="D245" s="4">
        <v>16242.7</v>
      </c>
      <c r="E245" s="4">
        <v>0</v>
      </c>
      <c r="F245" s="4">
        <v>16242.7</v>
      </c>
      <c r="H245" s="68">
        <f t="shared" si="3"/>
        <v>0</v>
      </c>
    </row>
    <row r="246" spans="1:8" x14ac:dyDescent="0.2">
      <c r="A246" s="6">
        <v>245</v>
      </c>
      <c r="B246" s="1" t="s">
        <v>7</v>
      </c>
      <c r="C246" s="1" t="s">
        <v>27</v>
      </c>
      <c r="D246" s="4">
        <v>4062.4</v>
      </c>
      <c r="E246" s="4">
        <v>1795.8</v>
      </c>
      <c r="F246" s="4">
        <v>5858.2</v>
      </c>
      <c r="H246" s="68">
        <f t="shared" si="3"/>
        <v>0.30654467242497696</v>
      </c>
    </row>
    <row r="247" spans="1:8" x14ac:dyDescent="0.2">
      <c r="A247" s="6">
        <v>246</v>
      </c>
      <c r="B247" s="1" t="s">
        <v>7</v>
      </c>
      <c r="C247" s="1" t="s">
        <v>28</v>
      </c>
      <c r="D247" s="4">
        <v>2425.8000000000002</v>
      </c>
      <c r="E247" s="4">
        <v>47.2</v>
      </c>
      <c r="F247" s="4">
        <v>2473</v>
      </c>
      <c r="H247" s="68">
        <f t="shared" si="3"/>
        <v>1.9086130206227254E-2</v>
      </c>
    </row>
    <row r="248" spans="1:8" x14ac:dyDescent="0.2">
      <c r="A248" s="6">
        <v>247</v>
      </c>
      <c r="B248" s="1" t="s">
        <v>7</v>
      </c>
      <c r="C248" s="1" t="s">
        <v>29</v>
      </c>
      <c r="D248" s="4">
        <v>2891.7</v>
      </c>
      <c r="E248" s="4">
        <v>2.2000000000000002</v>
      </c>
      <c r="F248" s="4">
        <v>2893.8999999999996</v>
      </c>
      <c r="H248" s="68">
        <f t="shared" si="3"/>
        <v>7.6021977262517729E-4</v>
      </c>
    </row>
    <row r="249" spans="1:8" x14ac:dyDescent="0.2">
      <c r="A249" s="6">
        <v>248</v>
      </c>
      <c r="B249" s="1" t="s">
        <v>7</v>
      </c>
      <c r="C249" s="1" t="s">
        <v>30</v>
      </c>
      <c r="D249" s="4">
        <v>16521.8</v>
      </c>
      <c r="E249" s="4">
        <v>3135.4</v>
      </c>
      <c r="F249" s="4">
        <v>19657.2</v>
      </c>
      <c r="H249" s="68">
        <f t="shared" si="3"/>
        <v>0.15950389679099769</v>
      </c>
    </row>
    <row r="250" spans="1:8" x14ac:dyDescent="0.2">
      <c r="A250" s="6">
        <v>249</v>
      </c>
      <c r="B250" s="1" t="s">
        <v>7</v>
      </c>
      <c r="C250" s="1" t="s">
        <v>31</v>
      </c>
      <c r="D250" s="4">
        <v>37</v>
      </c>
      <c r="E250" s="4">
        <v>0</v>
      </c>
      <c r="F250" s="4">
        <v>37</v>
      </c>
      <c r="H250" s="68">
        <f t="shared" si="3"/>
        <v>0</v>
      </c>
    </row>
    <row r="251" spans="1:8" x14ac:dyDescent="0.2">
      <c r="A251" s="7">
        <v>250</v>
      </c>
      <c r="B251" s="8" t="s">
        <v>7</v>
      </c>
      <c r="C251" s="8" t="s">
        <v>32</v>
      </c>
      <c r="D251" s="9">
        <v>123354.9</v>
      </c>
      <c r="E251" s="9">
        <v>6247.6999999999989</v>
      </c>
      <c r="F251" s="9">
        <v>129602.59999999999</v>
      </c>
      <c r="H251" s="68">
        <f t="shared" si="3"/>
        <v>4.820659462078692E-2</v>
      </c>
    </row>
    <row r="252" spans="1:8" x14ac:dyDescent="0.2">
      <c r="A252" s="6">
        <v>251</v>
      </c>
      <c r="B252" s="1" t="s">
        <v>7</v>
      </c>
      <c r="C252" s="1" t="s">
        <v>33</v>
      </c>
      <c r="D252" s="4">
        <v>0.44208757394413895</v>
      </c>
      <c r="E252" s="4">
        <v>2.4290249764589426E-2</v>
      </c>
      <c r="F252" s="4">
        <v>0.24168839829448988</v>
      </c>
      <c r="H252" s="68">
        <f t="shared" si="3"/>
        <v>0.10050234076603257</v>
      </c>
    </row>
    <row r="253" spans="1:8" x14ac:dyDescent="0.2">
      <c r="A253" s="6">
        <v>252</v>
      </c>
      <c r="B253" s="1" t="s">
        <v>7</v>
      </c>
      <c r="C253" s="1" t="s">
        <v>34</v>
      </c>
      <c r="D253" s="4">
        <v>1.1000000000000001</v>
      </c>
      <c r="E253" s="4">
        <v>0</v>
      </c>
      <c r="F253" s="4">
        <v>1.1000000000000001</v>
      </c>
      <c r="H253" s="68">
        <f t="shared" si="3"/>
        <v>0</v>
      </c>
    </row>
    <row r="254" spans="1:8" x14ac:dyDescent="0.2">
      <c r="A254" s="6">
        <v>253</v>
      </c>
      <c r="B254" s="1" t="s">
        <v>7</v>
      </c>
      <c r="C254" s="1" t="s">
        <v>35</v>
      </c>
      <c r="D254" s="4">
        <v>783.4</v>
      </c>
      <c r="E254" s="4">
        <v>10877.6</v>
      </c>
      <c r="F254" s="4">
        <v>11661</v>
      </c>
      <c r="H254" s="68">
        <f t="shared" si="3"/>
        <v>0.93281879770174092</v>
      </c>
    </row>
    <row r="255" spans="1:8" x14ac:dyDescent="0.2">
      <c r="A255" s="6">
        <v>254</v>
      </c>
      <c r="B255" s="1" t="s">
        <v>7</v>
      </c>
      <c r="C255" s="1" t="s">
        <v>36</v>
      </c>
      <c r="D255" s="4">
        <v>175.6</v>
      </c>
      <c r="E255" s="4">
        <v>9993.7000000000007</v>
      </c>
      <c r="F255" s="4">
        <v>10169.300000000001</v>
      </c>
      <c r="H255" s="68">
        <f t="shared" si="3"/>
        <v>0.98273234145909749</v>
      </c>
    </row>
    <row r="256" spans="1:8" x14ac:dyDescent="0.2">
      <c r="A256" s="6">
        <v>255</v>
      </c>
      <c r="B256" s="1" t="s">
        <v>7</v>
      </c>
      <c r="C256" s="1" t="s">
        <v>37</v>
      </c>
      <c r="D256" s="4">
        <v>1869.4</v>
      </c>
      <c r="E256" s="4">
        <v>328.1</v>
      </c>
      <c r="F256" s="4">
        <v>2197.5</v>
      </c>
      <c r="H256" s="68">
        <f t="shared" si="3"/>
        <v>0.14930602957906713</v>
      </c>
    </row>
    <row r="257" spans="1:8" x14ac:dyDescent="0.2">
      <c r="A257" s="7">
        <v>256</v>
      </c>
      <c r="B257" s="8" t="s">
        <v>7</v>
      </c>
      <c r="C257" s="8" t="s">
        <v>38</v>
      </c>
      <c r="D257" s="9">
        <v>2829.5</v>
      </c>
      <c r="E257" s="9">
        <v>21199.4</v>
      </c>
      <c r="F257" s="9">
        <v>24028.9</v>
      </c>
      <c r="H257" s="68">
        <f t="shared" si="3"/>
        <v>0.88224596215390638</v>
      </c>
    </row>
    <row r="258" spans="1:8" x14ac:dyDescent="0.2">
      <c r="A258" s="6">
        <v>257</v>
      </c>
      <c r="B258" s="1" t="s">
        <v>7</v>
      </c>
      <c r="C258" s="1" t="s">
        <v>33</v>
      </c>
      <c r="D258" s="4">
        <v>1.0140552101902244E-2</v>
      </c>
      <c r="E258" s="4">
        <v>8.2420526091111487E-2</v>
      </c>
      <c r="F258" s="4">
        <v>4.4810106847998951E-2</v>
      </c>
      <c r="H258" s="68">
        <f t="shared" si="3"/>
        <v>1.8393289346684982</v>
      </c>
    </row>
    <row r="259" spans="1:8" x14ac:dyDescent="0.2">
      <c r="A259" s="6">
        <v>258</v>
      </c>
      <c r="B259" s="1" t="s">
        <v>7</v>
      </c>
      <c r="C259" s="1" t="s">
        <v>39</v>
      </c>
      <c r="D259" s="4">
        <v>0</v>
      </c>
      <c r="E259" s="4">
        <v>0</v>
      </c>
      <c r="F259" s="4">
        <v>0</v>
      </c>
      <c r="H259" s="68">
        <f t="shared" ref="H259:H322" si="4">IFERROR(E259/F259,0)</f>
        <v>0</v>
      </c>
    </row>
    <row r="260" spans="1:8" x14ac:dyDescent="0.2">
      <c r="A260" s="6">
        <v>259</v>
      </c>
      <c r="B260" s="1" t="s">
        <v>7</v>
      </c>
      <c r="C260" s="1" t="s">
        <v>40</v>
      </c>
      <c r="D260" s="4">
        <v>776.6</v>
      </c>
      <c r="E260" s="4">
        <v>1187.7</v>
      </c>
      <c r="F260" s="4">
        <v>1964.3000000000002</v>
      </c>
      <c r="H260" s="68">
        <f t="shared" si="4"/>
        <v>0.60464287532454308</v>
      </c>
    </row>
    <row r="261" spans="1:8" x14ac:dyDescent="0.2">
      <c r="A261" s="6">
        <v>260</v>
      </c>
      <c r="B261" s="1" t="s">
        <v>7</v>
      </c>
      <c r="C261" s="1" t="s">
        <v>41</v>
      </c>
      <c r="D261" s="4">
        <v>353.9</v>
      </c>
      <c r="E261" s="4">
        <v>246.2</v>
      </c>
      <c r="F261" s="4">
        <v>600.09999999999991</v>
      </c>
      <c r="H261" s="68">
        <f t="shared" si="4"/>
        <v>0.41026495584069328</v>
      </c>
    </row>
    <row r="262" spans="1:8" x14ac:dyDescent="0.2">
      <c r="A262" s="6">
        <v>261</v>
      </c>
      <c r="B262" s="1" t="s">
        <v>7</v>
      </c>
      <c r="C262" s="1" t="s">
        <v>42</v>
      </c>
      <c r="D262" s="4">
        <v>1071.3</v>
      </c>
      <c r="E262" s="4">
        <v>10375.200000000001</v>
      </c>
      <c r="F262" s="4">
        <v>11446.5</v>
      </c>
      <c r="H262" s="68">
        <f t="shared" si="4"/>
        <v>0.9064080723365221</v>
      </c>
    </row>
    <row r="263" spans="1:8" x14ac:dyDescent="0.2">
      <c r="A263" s="6">
        <v>262</v>
      </c>
      <c r="B263" s="1" t="s">
        <v>7</v>
      </c>
      <c r="C263" s="1" t="s">
        <v>43</v>
      </c>
      <c r="D263" s="4">
        <v>0</v>
      </c>
      <c r="E263" s="4">
        <v>0</v>
      </c>
      <c r="F263" s="4">
        <v>0</v>
      </c>
      <c r="H263" s="68">
        <f t="shared" si="4"/>
        <v>0</v>
      </c>
    </row>
    <row r="264" spans="1:8" x14ac:dyDescent="0.2">
      <c r="A264" s="6">
        <v>263</v>
      </c>
      <c r="B264" s="1" t="s">
        <v>7</v>
      </c>
      <c r="C264" s="1" t="s">
        <v>44</v>
      </c>
      <c r="D264" s="4">
        <v>0</v>
      </c>
      <c r="E264" s="4">
        <v>5.8</v>
      </c>
      <c r="F264" s="4">
        <v>5.8</v>
      </c>
      <c r="H264" s="68">
        <f t="shared" si="4"/>
        <v>1</v>
      </c>
    </row>
    <row r="265" spans="1:8" x14ac:dyDescent="0.2">
      <c r="A265" s="7">
        <v>264</v>
      </c>
      <c r="B265" s="8" t="s">
        <v>7</v>
      </c>
      <c r="C265" s="8" t="s">
        <v>45</v>
      </c>
      <c r="D265" s="9">
        <v>2201.8000000000002</v>
      </c>
      <c r="E265" s="9">
        <v>11814.9</v>
      </c>
      <c r="F265" s="9">
        <v>14016.7</v>
      </c>
      <c r="H265" s="68">
        <f t="shared" si="4"/>
        <v>0.84291595025933341</v>
      </c>
    </row>
    <row r="266" spans="1:8" x14ac:dyDescent="0.2">
      <c r="A266" s="6">
        <v>265</v>
      </c>
      <c r="B266" s="1" t="s">
        <v>7</v>
      </c>
      <c r="C266" s="1" t="s">
        <v>33</v>
      </c>
      <c r="D266" s="4">
        <v>7.8909586916304526E-3</v>
      </c>
      <c r="E266" s="4">
        <v>4.5934803518678499E-2</v>
      </c>
      <c r="F266" s="4">
        <v>2.6138933727983673E-2</v>
      </c>
      <c r="H266" s="68">
        <f t="shared" si="4"/>
        <v>1.7573327204813207</v>
      </c>
    </row>
    <row r="267" spans="1:8" x14ac:dyDescent="0.2">
      <c r="A267" s="6">
        <v>266</v>
      </c>
      <c r="B267" s="1" t="s">
        <v>7</v>
      </c>
      <c r="C267" s="1" t="s">
        <v>46</v>
      </c>
      <c r="D267" s="4">
        <v>11605.1</v>
      </c>
      <c r="E267" s="4">
        <v>13.7</v>
      </c>
      <c r="F267" s="4">
        <v>11618.800000000001</v>
      </c>
      <c r="H267" s="68">
        <f t="shared" si="4"/>
        <v>1.1791234895169895E-3</v>
      </c>
    </row>
    <row r="268" spans="1:8" x14ac:dyDescent="0.2">
      <c r="A268" s="6">
        <v>267</v>
      </c>
      <c r="B268" s="1" t="s">
        <v>7</v>
      </c>
      <c r="C268" s="1" t="s">
        <v>47</v>
      </c>
      <c r="D268" s="4">
        <v>9533.2000000000007</v>
      </c>
      <c r="E268" s="4">
        <v>75.7</v>
      </c>
      <c r="F268" s="4">
        <v>9608.9000000000015</v>
      </c>
      <c r="H268" s="68">
        <f t="shared" si="4"/>
        <v>7.8781129994067983E-3</v>
      </c>
    </row>
    <row r="269" spans="1:8" x14ac:dyDescent="0.2">
      <c r="A269" s="6">
        <v>268</v>
      </c>
      <c r="B269" s="1" t="s">
        <v>7</v>
      </c>
      <c r="C269" s="1" t="s">
        <v>48</v>
      </c>
      <c r="D269" s="4">
        <v>283.5</v>
      </c>
      <c r="E269" s="4">
        <v>4.5999999999999996</v>
      </c>
      <c r="F269" s="4">
        <v>288.10000000000002</v>
      </c>
      <c r="H269" s="68">
        <f t="shared" si="4"/>
        <v>1.5966678236723358E-2</v>
      </c>
    </row>
    <row r="270" spans="1:8" x14ac:dyDescent="0.2">
      <c r="A270" s="6">
        <v>269</v>
      </c>
      <c r="B270" s="1" t="s">
        <v>7</v>
      </c>
      <c r="C270" s="1" t="s">
        <v>49</v>
      </c>
      <c r="D270" s="4">
        <v>0</v>
      </c>
      <c r="E270" s="4">
        <v>0</v>
      </c>
      <c r="F270" s="4">
        <v>0</v>
      </c>
      <c r="H270" s="68">
        <f t="shared" si="4"/>
        <v>0</v>
      </c>
    </row>
    <row r="271" spans="1:8" x14ac:dyDescent="0.2">
      <c r="A271" s="6">
        <v>270</v>
      </c>
      <c r="B271" s="1" t="s">
        <v>7</v>
      </c>
      <c r="C271" s="1" t="s">
        <v>50</v>
      </c>
      <c r="D271" s="4">
        <v>697.2</v>
      </c>
      <c r="E271" s="4">
        <v>31.2</v>
      </c>
      <c r="F271" s="4">
        <v>728.40000000000009</v>
      </c>
      <c r="H271" s="68">
        <f t="shared" si="4"/>
        <v>4.2833607907742995E-2</v>
      </c>
    </row>
    <row r="272" spans="1:8" x14ac:dyDescent="0.2">
      <c r="A272" s="7">
        <v>271</v>
      </c>
      <c r="B272" s="8" t="s">
        <v>7</v>
      </c>
      <c r="C272" s="8" t="s">
        <v>51</v>
      </c>
      <c r="D272" s="9">
        <v>22119.000000000004</v>
      </c>
      <c r="E272" s="9">
        <v>125.2</v>
      </c>
      <c r="F272" s="9">
        <v>22244.200000000004</v>
      </c>
      <c r="H272" s="68">
        <f t="shared" si="4"/>
        <v>5.6284334792889822E-3</v>
      </c>
    </row>
    <row r="273" spans="1:8" x14ac:dyDescent="0.2">
      <c r="A273" s="6">
        <v>272</v>
      </c>
      <c r="B273" s="1" t="s">
        <v>7</v>
      </c>
      <c r="C273" s="1" t="s">
        <v>33</v>
      </c>
      <c r="D273" s="4">
        <v>7.9271557498489409E-2</v>
      </c>
      <c r="E273" s="4">
        <v>4.8676141148368149E-4</v>
      </c>
      <c r="F273" s="4">
        <v>4.1481922965606349E-2</v>
      </c>
      <c r="H273" s="68">
        <f t="shared" si="4"/>
        <v>1.1734301996734023E-2</v>
      </c>
    </row>
    <row r="274" spans="1:8" x14ac:dyDescent="0.2">
      <c r="A274" s="6">
        <v>273</v>
      </c>
      <c r="B274" s="1" t="s">
        <v>7</v>
      </c>
      <c r="C274" s="1" t="s">
        <v>52</v>
      </c>
      <c r="D274" s="4">
        <v>1414.9</v>
      </c>
      <c r="E274" s="4">
        <v>8303.9</v>
      </c>
      <c r="F274" s="4">
        <v>9718.7999999999993</v>
      </c>
      <c r="H274" s="68">
        <f t="shared" si="4"/>
        <v>0.85441618306786848</v>
      </c>
    </row>
    <row r="275" spans="1:8" x14ac:dyDescent="0.2">
      <c r="A275" s="6">
        <v>274</v>
      </c>
      <c r="B275" s="1" t="s">
        <v>7</v>
      </c>
      <c r="C275" s="1" t="s">
        <v>53</v>
      </c>
      <c r="D275" s="4">
        <v>298.39999999999998</v>
      </c>
      <c r="E275" s="4">
        <v>15138.9</v>
      </c>
      <c r="F275" s="4">
        <v>15437.3</v>
      </c>
      <c r="H275" s="68">
        <f t="shared" si="4"/>
        <v>0.98067019491750507</v>
      </c>
    </row>
    <row r="276" spans="1:8" x14ac:dyDescent="0.2">
      <c r="A276" s="6">
        <v>275</v>
      </c>
      <c r="B276" s="1" t="s">
        <v>7</v>
      </c>
      <c r="C276" s="1" t="s">
        <v>54</v>
      </c>
      <c r="D276" s="4">
        <v>1877.3</v>
      </c>
      <c r="E276" s="4">
        <v>820.8</v>
      </c>
      <c r="F276" s="4">
        <v>2698.1</v>
      </c>
      <c r="H276" s="68">
        <f t="shared" si="4"/>
        <v>0.30421407657240279</v>
      </c>
    </row>
    <row r="277" spans="1:8" x14ac:dyDescent="0.2">
      <c r="A277" s="6">
        <v>276</v>
      </c>
      <c r="B277" s="1" t="s">
        <v>7</v>
      </c>
      <c r="C277" s="1" t="s">
        <v>55</v>
      </c>
      <c r="D277" s="4">
        <v>1161.9000000000001</v>
      </c>
      <c r="E277" s="4">
        <v>0</v>
      </c>
      <c r="F277" s="4">
        <v>1161.9000000000001</v>
      </c>
      <c r="H277" s="68">
        <f t="shared" si="4"/>
        <v>0</v>
      </c>
    </row>
    <row r="278" spans="1:8" x14ac:dyDescent="0.2">
      <c r="A278" s="6">
        <v>277</v>
      </c>
      <c r="B278" s="1" t="s">
        <v>7</v>
      </c>
      <c r="C278" s="1" t="s">
        <v>56</v>
      </c>
      <c r="D278" s="4">
        <v>38724.9</v>
      </c>
      <c r="E278" s="4">
        <v>81769.3</v>
      </c>
      <c r="F278" s="4">
        <v>120494.20000000001</v>
      </c>
      <c r="H278" s="68">
        <f t="shared" si="4"/>
        <v>0.67861606616750014</v>
      </c>
    </row>
    <row r="279" spans="1:8" x14ac:dyDescent="0.2">
      <c r="A279" s="6">
        <v>278</v>
      </c>
      <c r="B279" s="1" t="s">
        <v>7</v>
      </c>
      <c r="C279" s="1" t="s">
        <v>57</v>
      </c>
      <c r="D279" s="4">
        <v>664.9</v>
      </c>
      <c r="E279" s="4">
        <v>16154.2</v>
      </c>
      <c r="F279" s="4">
        <v>16819.100000000002</v>
      </c>
      <c r="H279" s="68">
        <f t="shared" si="4"/>
        <v>0.96046756366274044</v>
      </c>
    </row>
    <row r="280" spans="1:8" x14ac:dyDescent="0.2">
      <c r="A280" s="6">
        <v>279</v>
      </c>
      <c r="B280" s="1" t="s">
        <v>7</v>
      </c>
      <c r="C280" s="1" t="s">
        <v>58</v>
      </c>
      <c r="D280" s="4">
        <v>973.4</v>
      </c>
      <c r="E280" s="4">
        <v>9.9</v>
      </c>
      <c r="F280" s="4">
        <v>983.3</v>
      </c>
      <c r="H280" s="68">
        <f t="shared" si="4"/>
        <v>1.0068137902979763E-2</v>
      </c>
    </row>
    <row r="281" spans="1:8" x14ac:dyDescent="0.2">
      <c r="A281" s="7">
        <v>280</v>
      </c>
      <c r="B281" s="8" t="s">
        <v>7</v>
      </c>
      <c r="C281" s="8" t="s">
        <v>59</v>
      </c>
      <c r="D281" s="9">
        <v>45115.700000000004</v>
      </c>
      <c r="E281" s="9">
        <v>122196.99999999999</v>
      </c>
      <c r="F281" s="9">
        <v>167312.69999999998</v>
      </c>
      <c r="H281" s="68">
        <f t="shared" si="4"/>
        <v>0.73035101340185171</v>
      </c>
    </row>
    <row r="282" spans="1:8" x14ac:dyDescent="0.2">
      <c r="A282" s="6">
        <v>281</v>
      </c>
      <c r="B282" s="1" t="s">
        <v>7</v>
      </c>
      <c r="C282" s="1" t="s">
        <v>33</v>
      </c>
      <c r="D282" s="4">
        <v>0.16168867519483696</v>
      </c>
      <c r="E282" s="4">
        <v>0.47508613577533082</v>
      </c>
      <c r="F282" s="4">
        <v>0.31201178431085869</v>
      </c>
      <c r="H282" s="68">
        <f t="shared" si="4"/>
        <v>1.5226544626340153</v>
      </c>
    </row>
    <row r="283" spans="1:8" x14ac:dyDescent="0.2">
      <c r="A283" s="6">
        <v>282</v>
      </c>
      <c r="B283" s="1" t="s">
        <v>7</v>
      </c>
      <c r="C283" s="1" t="s">
        <v>60</v>
      </c>
      <c r="D283" s="4">
        <v>4586.8</v>
      </c>
      <c r="E283" s="4">
        <v>33.5</v>
      </c>
      <c r="F283" s="4">
        <v>4620.3</v>
      </c>
      <c r="H283" s="68">
        <f t="shared" si="4"/>
        <v>7.250611432158085E-3</v>
      </c>
    </row>
    <row r="284" spans="1:8" x14ac:dyDescent="0.2">
      <c r="A284" s="6">
        <v>283</v>
      </c>
      <c r="B284" s="1" t="s">
        <v>7</v>
      </c>
      <c r="C284" s="1" t="s">
        <v>61</v>
      </c>
      <c r="D284" s="4">
        <v>6374</v>
      </c>
      <c r="E284" s="4">
        <v>0</v>
      </c>
      <c r="F284" s="4">
        <v>6374</v>
      </c>
      <c r="H284" s="68">
        <f t="shared" si="4"/>
        <v>0</v>
      </c>
    </row>
    <row r="285" spans="1:8" x14ac:dyDescent="0.2">
      <c r="A285" s="6">
        <v>284</v>
      </c>
      <c r="B285" s="1" t="s">
        <v>7</v>
      </c>
      <c r="C285" s="1" t="s">
        <v>62</v>
      </c>
      <c r="D285" s="4">
        <v>17953.2</v>
      </c>
      <c r="E285" s="4">
        <v>3247.3</v>
      </c>
      <c r="F285" s="4">
        <v>21200.5</v>
      </c>
      <c r="H285" s="68">
        <f t="shared" si="4"/>
        <v>0.15317091578028821</v>
      </c>
    </row>
    <row r="286" spans="1:8" x14ac:dyDescent="0.2">
      <c r="A286" s="6">
        <v>285</v>
      </c>
      <c r="B286" s="1" t="s">
        <v>7</v>
      </c>
      <c r="C286" s="1" t="s">
        <v>63</v>
      </c>
      <c r="D286" s="4">
        <v>0</v>
      </c>
      <c r="E286" s="4">
        <v>0</v>
      </c>
      <c r="F286" s="4">
        <v>0</v>
      </c>
      <c r="H286" s="68">
        <f t="shared" si="4"/>
        <v>0</v>
      </c>
    </row>
    <row r="287" spans="1:8" x14ac:dyDescent="0.2">
      <c r="A287" s="6">
        <v>286</v>
      </c>
      <c r="B287" s="1" t="s">
        <v>7</v>
      </c>
      <c r="C287" s="1" t="s">
        <v>64</v>
      </c>
      <c r="D287" s="4">
        <v>6024</v>
      </c>
      <c r="E287" s="4">
        <v>90.3</v>
      </c>
      <c r="F287" s="4">
        <v>6114.3</v>
      </c>
      <c r="H287" s="68">
        <f t="shared" si="4"/>
        <v>1.4768657082576908E-2</v>
      </c>
    </row>
    <row r="288" spans="1:8" x14ac:dyDescent="0.2">
      <c r="A288" s="7">
        <v>287</v>
      </c>
      <c r="B288" s="8" t="s">
        <v>7</v>
      </c>
      <c r="C288" s="8" t="s">
        <v>65</v>
      </c>
      <c r="D288" s="9">
        <v>34938</v>
      </c>
      <c r="E288" s="9">
        <v>3371.1000000000004</v>
      </c>
      <c r="F288" s="9">
        <v>38309.1</v>
      </c>
      <c r="H288" s="68">
        <f t="shared" si="4"/>
        <v>8.7997368771388529E-2</v>
      </c>
    </row>
    <row r="289" spans="1:8" x14ac:dyDescent="0.2">
      <c r="A289" s="6">
        <v>288</v>
      </c>
      <c r="B289" s="1" t="s">
        <v>7</v>
      </c>
      <c r="C289" s="1" t="s">
        <v>33</v>
      </c>
      <c r="D289" s="4">
        <v>0.12521315049876677</v>
      </c>
      <c r="E289" s="4">
        <v>1.3106400912561014E-2</v>
      </c>
      <c r="F289" s="4">
        <v>7.1440426496871531E-2</v>
      </c>
      <c r="H289" s="68">
        <f t="shared" si="4"/>
        <v>0.18345916388300063</v>
      </c>
    </row>
    <row r="290" spans="1:8" x14ac:dyDescent="0.2">
      <c r="A290" s="6">
        <v>289</v>
      </c>
      <c r="B290" s="1" t="s">
        <v>7</v>
      </c>
      <c r="C290" s="1" t="s">
        <v>66</v>
      </c>
      <c r="D290" s="4">
        <v>1611</v>
      </c>
      <c r="E290" s="4">
        <v>40.200000000000003</v>
      </c>
      <c r="F290" s="4">
        <v>1651.2</v>
      </c>
      <c r="H290" s="68">
        <f t="shared" si="4"/>
        <v>2.4345930232558141E-2</v>
      </c>
    </row>
    <row r="291" spans="1:8" x14ac:dyDescent="0.2">
      <c r="A291" s="6">
        <v>290</v>
      </c>
      <c r="B291" s="1" t="s">
        <v>7</v>
      </c>
      <c r="C291" s="1" t="s">
        <v>67</v>
      </c>
      <c r="D291" s="4">
        <v>5423.5</v>
      </c>
      <c r="E291" s="4">
        <v>3964.7</v>
      </c>
      <c r="F291" s="4">
        <v>9388.2000000000007</v>
      </c>
      <c r="H291" s="68">
        <f t="shared" si="4"/>
        <v>0.42230672546388015</v>
      </c>
    </row>
    <row r="292" spans="1:8" x14ac:dyDescent="0.2">
      <c r="A292" s="6">
        <v>291</v>
      </c>
      <c r="B292" s="1" t="s">
        <v>7</v>
      </c>
      <c r="C292" s="1" t="s">
        <v>68</v>
      </c>
      <c r="D292" s="4">
        <v>6346.2</v>
      </c>
      <c r="E292" s="4">
        <v>8277.1</v>
      </c>
      <c r="F292" s="4">
        <v>14623.3</v>
      </c>
      <c r="H292" s="68">
        <f t="shared" si="4"/>
        <v>0.56602134949019722</v>
      </c>
    </row>
    <row r="293" spans="1:8" x14ac:dyDescent="0.2">
      <c r="A293" s="6">
        <v>292</v>
      </c>
      <c r="B293" s="1" t="s">
        <v>7</v>
      </c>
      <c r="C293" s="1" t="s">
        <v>69</v>
      </c>
      <c r="D293" s="4">
        <v>1406.8</v>
      </c>
      <c r="E293" s="4">
        <v>26</v>
      </c>
      <c r="F293" s="4">
        <v>1432.8</v>
      </c>
      <c r="H293" s="68">
        <f t="shared" si="4"/>
        <v>1.8146286990508097E-2</v>
      </c>
    </row>
    <row r="294" spans="1:8" x14ac:dyDescent="0.2">
      <c r="A294" s="6">
        <v>293</v>
      </c>
      <c r="B294" s="1" t="s">
        <v>7</v>
      </c>
      <c r="C294" s="1" t="s">
        <v>70</v>
      </c>
      <c r="D294" s="4">
        <v>5722.6</v>
      </c>
      <c r="E294" s="4">
        <v>4801.7</v>
      </c>
      <c r="F294" s="4">
        <v>10524.3</v>
      </c>
      <c r="H294" s="68">
        <f t="shared" si="4"/>
        <v>0.45624887165892269</v>
      </c>
    </row>
    <row r="295" spans="1:8" x14ac:dyDescent="0.2">
      <c r="A295" s="6">
        <v>294</v>
      </c>
      <c r="B295" s="1" t="s">
        <v>7</v>
      </c>
      <c r="C295" s="1" t="s">
        <v>71</v>
      </c>
      <c r="D295" s="4">
        <v>0</v>
      </c>
      <c r="E295" s="4">
        <v>0</v>
      </c>
      <c r="F295" s="4">
        <v>0</v>
      </c>
      <c r="H295" s="68">
        <f t="shared" si="4"/>
        <v>0</v>
      </c>
    </row>
    <row r="296" spans="1:8" x14ac:dyDescent="0.2">
      <c r="A296" s="6">
        <v>295</v>
      </c>
      <c r="B296" s="1" t="s">
        <v>7</v>
      </c>
      <c r="C296" s="1" t="s">
        <v>72</v>
      </c>
      <c r="D296" s="4">
        <v>3347.4</v>
      </c>
      <c r="E296" s="4">
        <v>23.5</v>
      </c>
      <c r="F296" s="4">
        <v>3370.9</v>
      </c>
      <c r="H296" s="68">
        <f t="shared" si="4"/>
        <v>6.9714319617906195E-3</v>
      </c>
    </row>
    <row r="297" spans="1:8" x14ac:dyDescent="0.2">
      <c r="A297" s="6">
        <v>296</v>
      </c>
      <c r="B297" s="1" t="s">
        <v>7</v>
      </c>
      <c r="C297" s="1" t="s">
        <v>73</v>
      </c>
      <c r="D297" s="4">
        <v>14269.4</v>
      </c>
      <c r="E297" s="4">
        <v>7547.9</v>
      </c>
      <c r="F297" s="4">
        <v>21817.3</v>
      </c>
      <c r="H297" s="68">
        <f t="shared" si="4"/>
        <v>0.345959399192384</v>
      </c>
    </row>
    <row r="298" spans="1:8" x14ac:dyDescent="0.2">
      <c r="A298" s="6">
        <v>297</v>
      </c>
      <c r="B298" s="1" t="s">
        <v>7</v>
      </c>
      <c r="C298" s="1" t="s">
        <v>74</v>
      </c>
      <c r="D298" s="4">
        <v>1567.1</v>
      </c>
      <c r="E298" s="4">
        <v>132.4</v>
      </c>
      <c r="F298" s="4">
        <v>1699.5</v>
      </c>
      <c r="H298" s="68">
        <f t="shared" si="4"/>
        <v>7.7905266254780822E-2</v>
      </c>
    </row>
    <row r="299" spans="1:8" x14ac:dyDescent="0.2">
      <c r="A299" s="6">
        <v>298</v>
      </c>
      <c r="B299" s="1" t="s">
        <v>7</v>
      </c>
      <c r="C299" s="1" t="s">
        <v>75</v>
      </c>
      <c r="D299" s="4">
        <v>310.7</v>
      </c>
      <c r="E299" s="4">
        <v>308</v>
      </c>
      <c r="F299" s="4">
        <v>618.70000000000005</v>
      </c>
      <c r="H299" s="68">
        <f t="shared" si="4"/>
        <v>0.49781800549539351</v>
      </c>
    </row>
    <row r="300" spans="1:8" x14ac:dyDescent="0.2">
      <c r="A300" s="6">
        <v>299</v>
      </c>
      <c r="B300" s="1" t="s">
        <v>7</v>
      </c>
      <c r="C300" s="1" t="s">
        <v>76</v>
      </c>
      <c r="D300" s="4">
        <v>448.1</v>
      </c>
      <c r="E300" s="4">
        <v>46.5</v>
      </c>
      <c r="F300" s="4">
        <v>494.6</v>
      </c>
      <c r="H300" s="68">
        <f t="shared" si="4"/>
        <v>9.4015365952284671E-2</v>
      </c>
    </row>
    <row r="301" spans="1:8" x14ac:dyDescent="0.2">
      <c r="A301" s="6">
        <v>300</v>
      </c>
      <c r="B301" s="1" t="s">
        <v>7</v>
      </c>
      <c r="C301" s="1" t="s">
        <v>77</v>
      </c>
      <c r="D301" s="4">
        <v>2240.8000000000002</v>
      </c>
      <c r="E301" s="4">
        <v>383.1</v>
      </c>
      <c r="F301" s="4">
        <v>2623.9</v>
      </c>
      <c r="H301" s="68">
        <f t="shared" si="4"/>
        <v>0.1460040397881017</v>
      </c>
    </row>
    <row r="302" spans="1:8" x14ac:dyDescent="0.2">
      <c r="A302" s="6">
        <v>301</v>
      </c>
      <c r="B302" s="1" t="s">
        <v>7</v>
      </c>
      <c r="C302" s="1" t="s">
        <v>78</v>
      </c>
      <c r="D302" s="4">
        <v>0</v>
      </c>
      <c r="E302" s="4">
        <v>0</v>
      </c>
      <c r="F302" s="4">
        <v>0</v>
      </c>
      <c r="H302" s="68">
        <f t="shared" si="4"/>
        <v>0</v>
      </c>
    </row>
    <row r="303" spans="1:8" x14ac:dyDescent="0.2">
      <c r="A303" s="7">
        <v>302</v>
      </c>
      <c r="B303" s="8" t="s">
        <v>7</v>
      </c>
      <c r="C303" s="8" t="s">
        <v>79</v>
      </c>
      <c r="D303" s="9">
        <v>42693.599999999999</v>
      </c>
      <c r="E303" s="9">
        <v>25551.1</v>
      </c>
      <c r="F303" s="9">
        <v>68244.7</v>
      </c>
      <c r="H303" s="68">
        <f t="shared" si="4"/>
        <v>0.3744041661843337</v>
      </c>
    </row>
    <row r="304" spans="1:8" x14ac:dyDescent="0.2">
      <c r="A304" s="6">
        <v>303</v>
      </c>
      <c r="B304" s="1" t="s">
        <v>7</v>
      </c>
      <c r="C304" s="1" t="s">
        <v>33</v>
      </c>
      <c r="D304" s="4">
        <v>0.15300819056998538</v>
      </c>
      <c r="E304" s="4">
        <v>9.9339373010868148E-2</v>
      </c>
      <c r="F304" s="4">
        <v>0.12726559679426164</v>
      </c>
      <c r="H304" s="68">
        <f t="shared" si="4"/>
        <v>0.78056737651936525</v>
      </c>
    </row>
    <row r="305" spans="1:8" x14ac:dyDescent="0.2">
      <c r="A305" s="6">
        <v>304</v>
      </c>
      <c r="B305" s="1" t="s">
        <v>7</v>
      </c>
      <c r="C305" s="1" t="s">
        <v>80</v>
      </c>
      <c r="D305" s="4">
        <v>0</v>
      </c>
      <c r="E305" s="4">
        <v>27818.3</v>
      </c>
      <c r="F305" s="4">
        <v>27818.3</v>
      </c>
      <c r="H305" s="68">
        <f t="shared" si="4"/>
        <v>1</v>
      </c>
    </row>
    <row r="306" spans="1:8" x14ac:dyDescent="0.2">
      <c r="A306" s="6">
        <v>305</v>
      </c>
      <c r="B306" s="1" t="s">
        <v>7</v>
      </c>
      <c r="C306" s="1" t="s">
        <v>81</v>
      </c>
      <c r="D306" s="4">
        <v>0</v>
      </c>
      <c r="E306" s="4">
        <v>22514.2</v>
      </c>
      <c r="F306" s="4">
        <v>22514.2</v>
      </c>
      <c r="H306" s="68">
        <f t="shared" si="4"/>
        <v>1</v>
      </c>
    </row>
    <row r="307" spans="1:8" x14ac:dyDescent="0.2">
      <c r="A307" s="6">
        <v>306</v>
      </c>
      <c r="B307" s="1" t="s">
        <v>7</v>
      </c>
      <c r="C307" s="1" t="s">
        <v>82</v>
      </c>
      <c r="D307" s="4">
        <v>0</v>
      </c>
      <c r="E307" s="4">
        <v>1422.1</v>
      </c>
      <c r="F307" s="4">
        <v>1422.1</v>
      </c>
      <c r="H307" s="68">
        <f t="shared" si="4"/>
        <v>1</v>
      </c>
    </row>
    <row r="308" spans="1:8" x14ac:dyDescent="0.2">
      <c r="A308" s="6">
        <v>307</v>
      </c>
      <c r="B308" s="1" t="s">
        <v>7</v>
      </c>
      <c r="C308" s="1" t="s">
        <v>83</v>
      </c>
      <c r="D308" s="4">
        <v>0</v>
      </c>
      <c r="E308" s="4">
        <v>2120.8000000000002</v>
      </c>
      <c r="F308" s="4">
        <v>2120.8000000000002</v>
      </c>
      <c r="H308" s="68">
        <f t="shared" si="4"/>
        <v>1</v>
      </c>
    </row>
    <row r="309" spans="1:8" x14ac:dyDescent="0.2">
      <c r="A309" s="6">
        <v>308</v>
      </c>
      <c r="B309" s="1" t="s">
        <v>7</v>
      </c>
      <c r="C309" s="1" t="s">
        <v>84</v>
      </c>
      <c r="D309" s="4">
        <v>0</v>
      </c>
      <c r="E309" s="4">
        <v>11040.3</v>
      </c>
      <c r="F309" s="4">
        <v>11040.3</v>
      </c>
      <c r="H309" s="68">
        <f t="shared" si="4"/>
        <v>1</v>
      </c>
    </row>
    <row r="310" spans="1:8" x14ac:dyDescent="0.2">
      <c r="A310" s="6">
        <v>309</v>
      </c>
      <c r="B310" s="1" t="s">
        <v>7</v>
      </c>
      <c r="C310" s="1" t="s">
        <v>85</v>
      </c>
      <c r="D310" s="4">
        <v>0</v>
      </c>
      <c r="E310" s="4">
        <v>0</v>
      </c>
      <c r="F310" s="4">
        <v>0</v>
      </c>
      <c r="H310" s="68">
        <f t="shared" si="4"/>
        <v>0</v>
      </c>
    </row>
    <row r="311" spans="1:8" x14ac:dyDescent="0.2">
      <c r="A311" s="7">
        <v>310</v>
      </c>
      <c r="B311" s="8" t="s">
        <v>7</v>
      </c>
      <c r="C311" s="8" t="s">
        <v>86</v>
      </c>
      <c r="D311" s="9">
        <v>0</v>
      </c>
      <c r="E311" s="9">
        <v>64915.7</v>
      </c>
      <c r="F311" s="9">
        <v>64915.7</v>
      </c>
      <c r="H311" s="68">
        <f t="shared" si="4"/>
        <v>1</v>
      </c>
    </row>
    <row r="312" spans="1:8" x14ac:dyDescent="0.2">
      <c r="A312" s="6">
        <v>311</v>
      </c>
      <c r="B312" s="1" t="s">
        <v>7</v>
      </c>
      <c r="C312" s="1" t="s">
        <v>33</v>
      </c>
      <c r="D312" s="4">
        <v>0</v>
      </c>
      <c r="E312" s="4">
        <v>0.25238384791893947</v>
      </c>
      <c r="F312" s="4">
        <v>0.12105753709544112</v>
      </c>
      <c r="H312" s="68">
        <f t="shared" si="4"/>
        <v>2.0848255629053596</v>
      </c>
    </row>
    <row r="313" spans="1:8" x14ac:dyDescent="0.2">
      <c r="A313" s="6">
        <v>312</v>
      </c>
      <c r="B313" s="1" t="s">
        <v>7</v>
      </c>
      <c r="C313" s="1" t="s">
        <v>87</v>
      </c>
      <c r="D313" s="4">
        <v>0</v>
      </c>
      <c r="E313" s="4">
        <v>1107.9000000000001</v>
      </c>
      <c r="F313" s="4">
        <v>1107.9000000000001</v>
      </c>
      <c r="H313" s="68">
        <f t="shared" si="4"/>
        <v>1</v>
      </c>
    </row>
    <row r="314" spans="1:8" x14ac:dyDescent="0.2">
      <c r="A314" s="6">
        <v>313</v>
      </c>
      <c r="B314" s="1" t="s">
        <v>7</v>
      </c>
      <c r="C314" s="1" t="s">
        <v>88</v>
      </c>
      <c r="D314" s="4">
        <v>0</v>
      </c>
      <c r="E314" s="4">
        <v>0</v>
      </c>
      <c r="F314" s="4">
        <v>0</v>
      </c>
      <c r="H314" s="68">
        <f t="shared" si="4"/>
        <v>0</v>
      </c>
    </row>
    <row r="315" spans="1:8" x14ac:dyDescent="0.2">
      <c r="A315" s="7">
        <v>314</v>
      </c>
      <c r="B315" s="8" t="s">
        <v>7</v>
      </c>
      <c r="C315" s="8" t="s">
        <v>89</v>
      </c>
      <c r="D315" s="9">
        <v>0</v>
      </c>
      <c r="E315" s="9">
        <v>1107.9000000000001</v>
      </c>
      <c r="F315" s="9">
        <v>1107.9000000000001</v>
      </c>
      <c r="H315" s="68">
        <f t="shared" si="4"/>
        <v>1</v>
      </c>
    </row>
    <row r="316" spans="1:8" x14ac:dyDescent="0.2">
      <c r="A316" s="6">
        <v>315</v>
      </c>
      <c r="B316" s="1" t="s">
        <v>7</v>
      </c>
      <c r="C316" s="1" t="s">
        <v>33</v>
      </c>
      <c r="D316" s="4">
        <v>0</v>
      </c>
      <c r="E316" s="4">
        <v>4.3073719471467316E-3</v>
      </c>
      <c r="F316" s="4">
        <v>2.0660586783788704E-3</v>
      </c>
      <c r="H316" s="68">
        <f t="shared" si="4"/>
        <v>2.0848255629053596</v>
      </c>
    </row>
    <row r="317" spans="1:8" x14ac:dyDescent="0.2">
      <c r="A317" s="6">
        <v>316</v>
      </c>
      <c r="B317" s="1" t="s">
        <v>7</v>
      </c>
      <c r="C317" s="1" t="s">
        <v>90</v>
      </c>
      <c r="D317" s="4">
        <v>3078.3</v>
      </c>
      <c r="E317" s="4">
        <v>0</v>
      </c>
      <c r="F317" s="4">
        <v>3078.3</v>
      </c>
      <c r="H317" s="68">
        <f t="shared" si="4"/>
        <v>0</v>
      </c>
    </row>
    <row r="318" spans="1:8" x14ac:dyDescent="0.2">
      <c r="A318" s="6">
        <v>317</v>
      </c>
      <c r="B318" s="1" t="s">
        <v>7</v>
      </c>
      <c r="C318" s="1" t="s">
        <v>33</v>
      </c>
      <c r="D318" s="4">
        <v>1.1032218248908175E-2</v>
      </c>
      <c r="E318" s="4">
        <v>0</v>
      </c>
      <c r="F318" s="4">
        <v>5.7405437581493609E-3</v>
      </c>
      <c r="H318" s="68">
        <f t="shared" si="4"/>
        <v>0</v>
      </c>
    </row>
    <row r="319" spans="1:8" x14ac:dyDescent="0.2">
      <c r="A319" s="6">
        <v>318</v>
      </c>
      <c r="B319" s="1" t="s">
        <v>7</v>
      </c>
      <c r="C319" s="1" t="s">
        <v>91</v>
      </c>
      <c r="D319" s="4">
        <v>2697.4</v>
      </c>
      <c r="E319" s="4">
        <v>680.2</v>
      </c>
      <c r="F319" s="4">
        <v>3377.6000000000004</v>
      </c>
      <c r="H319" s="68">
        <f t="shared" si="4"/>
        <v>0.20138559924206537</v>
      </c>
    </row>
    <row r="320" spans="1:8" x14ac:dyDescent="0.2">
      <c r="A320" s="6">
        <v>319</v>
      </c>
      <c r="B320" s="1" t="s">
        <v>7</v>
      </c>
      <c r="C320" s="1" t="s">
        <v>33</v>
      </c>
      <c r="D320" s="4">
        <v>9.6671232513416208E-3</v>
      </c>
      <c r="E320" s="4">
        <v>2.6445296492907363E-3</v>
      </c>
      <c r="F320" s="4">
        <v>6.2986910299598093E-3</v>
      </c>
      <c r="H320" s="68">
        <f t="shared" si="4"/>
        <v>0.41985384530087205</v>
      </c>
    </row>
    <row r="321" spans="1:8" x14ac:dyDescent="0.2">
      <c r="A321" s="10">
        <v>320</v>
      </c>
      <c r="B321" s="11" t="s">
        <v>7</v>
      </c>
      <c r="C321" s="11" t="s">
        <v>2</v>
      </c>
      <c r="D321" s="12">
        <v>279028.2</v>
      </c>
      <c r="E321" s="12">
        <v>257210.19999999998</v>
      </c>
      <c r="F321" s="12">
        <v>536238.4</v>
      </c>
      <c r="H321" s="68">
        <f t="shared" si="4"/>
        <v>0.47965643639097827</v>
      </c>
    </row>
    <row r="322" spans="1:8" x14ac:dyDescent="0.2">
      <c r="A322" s="6">
        <v>321</v>
      </c>
      <c r="B322" s="1" t="s">
        <v>8</v>
      </c>
      <c r="C322" s="1" t="s">
        <v>23</v>
      </c>
      <c r="D322" s="4">
        <v>42417.363152559315</v>
      </c>
      <c r="E322" s="4">
        <v>1521.2475400000001</v>
      </c>
      <c r="F322" s="4">
        <v>43938.610692559312</v>
      </c>
      <c r="H322" s="68">
        <f t="shared" si="4"/>
        <v>3.4622112898476609E-2</v>
      </c>
    </row>
    <row r="323" spans="1:8" x14ac:dyDescent="0.2">
      <c r="A323" s="6">
        <v>322</v>
      </c>
      <c r="B323" s="1" t="s">
        <v>8</v>
      </c>
      <c r="C323" s="1" t="s">
        <v>24</v>
      </c>
      <c r="D323" s="4">
        <v>1.8896729248131725</v>
      </c>
      <c r="E323" s="4">
        <v>115.13603999999999</v>
      </c>
      <c r="F323" s="4">
        <v>117.02571292481316</v>
      </c>
      <c r="H323" s="68">
        <f t="shared" ref="H323:H386" si="5">IFERROR(E323/F323,0)</f>
        <v>0.98385249807427155</v>
      </c>
    </row>
    <row r="324" spans="1:8" x14ac:dyDescent="0.2">
      <c r="A324" s="6">
        <v>323</v>
      </c>
      <c r="B324" s="1" t="s">
        <v>8</v>
      </c>
      <c r="C324" s="1" t="s">
        <v>25</v>
      </c>
      <c r="D324" s="4">
        <v>2474.4778549699199</v>
      </c>
      <c r="E324" s="4">
        <v>2445.39788</v>
      </c>
      <c r="F324" s="4">
        <v>4919.8757349699199</v>
      </c>
      <c r="H324" s="68">
        <f t="shared" si="5"/>
        <v>0.49704464334706439</v>
      </c>
    </row>
    <row r="325" spans="1:8" x14ac:dyDescent="0.2">
      <c r="A325" s="6">
        <v>324</v>
      </c>
      <c r="B325" s="1" t="s">
        <v>8</v>
      </c>
      <c r="C325" s="1" t="s">
        <v>26</v>
      </c>
      <c r="D325" s="4">
        <v>0</v>
      </c>
      <c r="E325" s="4">
        <v>1067.5512800000001</v>
      </c>
      <c r="F325" s="4">
        <v>1067.5512800000001</v>
      </c>
      <c r="H325" s="68">
        <f t="shared" si="5"/>
        <v>1</v>
      </c>
    </row>
    <row r="326" spans="1:8" x14ac:dyDescent="0.2">
      <c r="A326" s="6">
        <v>325</v>
      </c>
      <c r="B326" s="1" t="s">
        <v>8</v>
      </c>
      <c r="C326" s="1" t="s">
        <v>27</v>
      </c>
      <c r="D326" s="4">
        <v>2521.9924754809795</v>
      </c>
      <c r="E326" s="4">
        <v>5719.2160899999999</v>
      </c>
      <c r="F326" s="4">
        <v>8241.2085654809798</v>
      </c>
      <c r="H326" s="68">
        <f t="shared" si="5"/>
        <v>0.69397783644930855</v>
      </c>
    </row>
    <row r="327" spans="1:8" x14ac:dyDescent="0.2">
      <c r="A327" s="6">
        <v>326</v>
      </c>
      <c r="B327" s="1" t="s">
        <v>8</v>
      </c>
      <c r="C327" s="1" t="s">
        <v>28</v>
      </c>
      <c r="D327" s="4">
        <v>0</v>
      </c>
      <c r="E327" s="4">
        <v>1.5</v>
      </c>
      <c r="F327" s="4">
        <v>1.5</v>
      </c>
      <c r="H327" s="68">
        <f t="shared" si="5"/>
        <v>1</v>
      </c>
    </row>
    <row r="328" spans="1:8" x14ac:dyDescent="0.2">
      <c r="A328" s="6">
        <v>327</v>
      </c>
      <c r="B328" s="1" t="s">
        <v>8</v>
      </c>
      <c r="C328" s="1" t="s">
        <v>29</v>
      </c>
      <c r="D328" s="4">
        <v>0.12762999999999999</v>
      </c>
      <c r="E328" s="4">
        <v>4729.96414</v>
      </c>
      <c r="F328" s="4">
        <v>4730.09177</v>
      </c>
      <c r="H328" s="68">
        <f t="shared" si="5"/>
        <v>0.99997301743682665</v>
      </c>
    </row>
    <row r="329" spans="1:8" x14ac:dyDescent="0.2">
      <c r="A329" s="6">
        <v>328</v>
      </c>
      <c r="B329" s="1" t="s">
        <v>8</v>
      </c>
      <c r="C329" s="1" t="s">
        <v>30</v>
      </c>
      <c r="D329" s="4">
        <v>74.707745422559</v>
      </c>
      <c r="E329" s="4">
        <v>3.9912299999999998</v>
      </c>
      <c r="F329" s="4">
        <v>78.698975422559002</v>
      </c>
      <c r="H329" s="68">
        <f t="shared" si="5"/>
        <v>5.0715145636520152E-2</v>
      </c>
    </row>
    <row r="330" spans="1:8" x14ac:dyDescent="0.2">
      <c r="A330" s="6">
        <v>329</v>
      </c>
      <c r="B330" s="1" t="s">
        <v>8</v>
      </c>
      <c r="C330" s="1" t="s">
        <v>31</v>
      </c>
      <c r="D330" s="4">
        <v>1032.1761201851236</v>
      </c>
      <c r="E330" s="4">
        <v>983.76071999999999</v>
      </c>
      <c r="F330" s="4">
        <v>2015.9368401851236</v>
      </c>
      <c r="H330" s="68">
        <f t="shared" si="5"/>
        <v>0.48799183604862401</v>
      </c>
    </row>
    <row r="331" spans="1:8" x14ac:dyDescent="0.2">
      <c r="A331" s="7">
        <v>330</v>
      </c>
      <c r="B331" s="8" t="s">
        <v>8</v>
      </c>
      <c r="C331" s="8" t="s">
        <v>32</v>
      </c>
      <c r="D331" s="9">
        <v>48522.734651542713</v>
      </c>
      <c r="E331" s="9">
        <v>16587.764919999998</v>
      </c>
      <c r="F331" s="9">
        <v>65110.499571542707</v>
      </c>
      <c r="H331" s="68">
        <f t="shared" si="5"/>
        <v>0.25476328747521809</v>
      </c>
    </row>
    <row r="332" spans="1:8" x14ac:dyDescent="0.2">
      <c r="A332" s="6">
        <v>331</v>
      </c>
      <c r="B332" s="1" t="s">
        <v>8</v>
      </c>
      <c r="C332" s="1" t="s">
        <v>33</v>
      </c>
      <c r="D332" s="4">
        <v>0.55260152391162931</v>
      </c>
      <c r="E332" s="4">
        <v>0.24412401450399943</v>
      </c>
      <c r="F332" s="4">
        <v>0.41802903266915464</v>
      </c>
      <c r="H332" s="68">
        <f t="shared" si="5"/>
        <v>0.58398818126397745</v>
      </c>
    </row>
    <row r="333" spans="1:8" x14ac:dyDescent="0.2">
      <c r="A333" s="6">
        <v>332</v>
      </c>
      <c r="B333" s="1" t="s">
        <v>8</v>
      </c>
      <c r="C333" s="1" t="s">
        <v>34</v>
      </c>
      <c r="D333" s="4">
        <v>0</v>
      </c>
      <c r="E333" s="4">
        <v>0</v>
      </c>
      <c r="F333" s="4">
        <v>0</v>
      </c>
      <c r="H333" s="68">
        <f t="shared" si="5"/>
        <v>0</v>
      </c>
    </row>
    <row r="334" spans="1:8" x14ac:dyDescent="0.2">
      <c r="A334" s="6">
        <v>333</v>
      </c>
      <c r="B334" s="1" t="s">
        <v>8</v>
      </c>
      <c r="C334" s="1" t="s">
        <v>35</v>
      </c>
      <c r="D334" s="4">
        <v>0</v>
      </c>
      <c r="E334" s="4">
        <v>1355.21632</v>
      </c>
      <c r="F334" s="4">
        <v>1355.21632</v>
      </c>
      <c r="H334" s="68">
        <f t="shared" si="5"/>
        <v>1</v>
      </c>
    </row>
    <row r="335" spans="1:8" x14ac:dyDescent="0.2">
      <c r="A335" s="6">
        <v>334</v>
      </c>
      <c r="B335" s="1" t="s">
        <v>8</v>
      </c>
      <c r="C335" s="1" t="s">
        <v>36</v>
      </c>
      <c r="D335" s="4">
        <v>0</v>
      </c>
      <c r="E335" s="4">
        <v>13.8299</v>
      </c>
      <c r="F335" s="4">
        <v>13.8299</v>
      </c>
      <c r="H335" s="68">
        <f t="shared" si="5"/>
        <v>1</v>
      </c>
    </row>
    <row r="336" spans="1:8" x14ac:dyDescent="0.2">
      <c r="A336" s="6">
        <v>335</v>
      </c>
      <c r="B336" s="1" t="s">
        <v>8</v>
      </c>
      <c r="C336" s="1" t="s">
        <v>37</v>
      </c>
      <c r="D336" s="4">
        <v>131.5081110219225</v>
      </c>
      <c r="E336" s="4">
        <v>31.65287</v>
      </c>
      <c r="F336" s="4">
        <v>163.16098102192251</v>
      </c>
      <c r="H336" s="68">
        <f t="shared" si="5"/>
        <v>0.19399779163957762</v>
      </c>
    </row>
    <row r="337" spans="1:8" x14ac:dyDescent="0.2">
      <c r="A337" s="7">
        <v>336</v>
      </c>
      <c r="B337" s="8" t="s">
        <v>8</v>
      </c>
      <c r="C337" s="8" t="s">
        <v>38</v>
      </c>
      <c r="D337" s="9">
        <v>131.5081110219225</v>
      </c>
      <c r="E337" s="9">
        <v>1400.6990899999998</v>
      </c>
      <c r="F337" s="9">
        <v>1532.2072010219224</v>
      </c>
      <c r="H337" s="68">
        <f t="shared" si="5"/>
        <v>0.91417080474872348</v>
      </c>
    </row>
    <row r="338" spans="1:8" x14ac:dyDescent="0.2">
      <c r="A338" s="6">
        <v>337</v>
      </c>
      <c r="B338" s="1" t="s">
        <v>8</v>
      </c>
      <c r="C338" s="1" t="s">
        <v>33</v>
      </c>
      <c r="D338" s="4">
        <v>1.4976810989597352E-3</v>
      </c>
      <c r="E338" s="4">
        <v>2.0614247103937063E-2</v>
      </c>
      <c r="F338" s="4">
        <v>9.8372320640563518E-3</v>
      </c>
      <c r="H338" s="68">
        <f t="shared" si="5"/>
        <v>2.0955332729475979</v>
      </c>
    </row>
    <row r="339" spans="1:8" x14ac:dyDescent="0.2">
      <c r="A339" s="6">
        <v>338</v>
      </c>
      <c r="B339" s="1" t="s">
        <v>8</v>
      </c>
      <c r="C339" s="1" t="s">
        <v>39</v>
      </c>
      <c r="D339" s="4">
        <v>0</v>
      </c>
      <c r="E339" s="4">
        <v>0</v>
      </c>
      <c r="F339" s="4">
        <v>0</v>
      </c>
      <c r="H339" s="68">
        <f t="shared" si="5"/>
        <v>0</v>
      </c>
    </row>
    <row r="340" spans="1:8" x14ac:dyDescent="0.2">
      <c r="A340" s="6">
        <v>339</v>
      </c>
      <c r="B340" s="1" t="s">
        <v>8</v>
      </c>
      <c r="C340" s="1" t="s">
        <v>40</v>
      </c>
      <c r="D340" s="4">
        <v>0</v>
      </c>
      <c r="E340" s="4">
        <v>3495.64525</v>
      </c>
      <c r="F340" s="4">
        <v>3495.64525</v>
      </c>
      <c r="H340" s="68">
        <f t="shared" si="5"/>
        <v>1</v>
      </c>
    </row>
    <row r="341" spans="1:8" x14ac:dyDescent="0.2">
      <c r="A341" s="6">
        <v>340</v>
      </c>
      <c r="B341" s="1" t="s">
        <v>8</v>
      </c>
      <c r="C341" s="1" t="s">
        <v>41</v>
      </c>
      <c r="D341" s="4">
        <v>0</v>
      </c>
      <c r="E341" s="4">
        <v>0</v>
      </c>
      <c r="F341" s="4">
        <v>0</v>
      </c>
      <c r="H341" s="68">
        <f t="shared" si="5"/>
        <v>0</v>
      </c>
    </row>
    <row r="342" spans="1:8" x14ac:dyDescent="0.2">
      <c r="A342" s="6">
        <v>341</v>
      </c>
      <c r="B342" s="1" t="s">
        <v>8</v>
      </c>
      <c r="C342" s="1" t="s">
        <v>42</v>
      </c>
      <c r="D342" s="4">
        <v>485.83560994198649</v>
      </c>
      <c r="E342" s="4">
        <v>1368.0883200000001</v>
      </c>
      <c r="F342" s="4">
        <v>1853.9239299419864</v>
      </c>
      <c r="H342" s="68">
        <f t="shared" si="5"/>
        <v>0.7379419931446759</v>
      </c>
    </row>
    <row r="343" spans="1:8" x14ac:dyDescent="0.2">
      <c r="A343" s="6">
        <v>342</v>
      </c>
      <c r="B343" s="1" t="s">
        <v>8</v>
      </c>
      <c r="C343" s="1" t="s">
        <v>43</v>
      </c>
      <c r="D343" s="4">
        <v>0</v>
      </c>
      <c r="E343" s="4">
        <v>0</v>
      </c>
      <c r="F343" s="4">
        <v>0</v>
      </c>
      <c r="H343" s="68">
        <f t="shared" si="5"/>
        <v>0</v>
      </c>
    </row>
    <row r="344" spans="1:8" x14ac:dyDescent="0.2">
      <c r="A344" s="6">
        <v>343</v>
      </c>
      <c r="B344" s="1" t="s">
        <v>8</v>
      </c>
      <c r="C344" s="1" t="s">
        <v>44</v>
      </c>
      <c r="D344" s="4">
        <v>107.84179134976614</v>
      </c>
      <c r="E344" s="4">
        <v>38.530650000000001</v>
      </c>
      <c r="F344" s="4">
        <v>146.37244134976615</v>
      </c>
      <c r="H344" s="68">
        <f t="shared" si="5"/>
        <v>0.26323705230774003</v>
      </c>
    </row>
    <row r="345" spans="1:8" x14ac:dyDescent="0.2">
      <c r="A345" s="7">
        <v>344</v>
      </c>
      <c r="B345" s="8" t="s">
        <v>8</v>
      </c>
      <c r="C345" s="8" t="s">
        <v>45</v>
      </c>
      <c r="D345" s="9">
        <v>593.67740129175263</v>
      </c>
      <c r="E345" s="9">
        <v>4902.26422</v>
      </c>
      <c r="F345" s="9">
        <v>5495.9416212917531</v>
      </c>
      <c r="H345" s="68">
        <f t="shared" si="5"/>
        <v>0.89197894697574742</v>
      </c>
    </row>
    <row r="346" spans="1:8" x14ac:dyDescent="0.2">
      <c r="A346" s="6">
        <v>345</v>
      </c>
      <c r="B346" s="1" t="s">
        <v>8</v>
      </c>
      <c r="C346" s="1" t="s">
        <v>33</v>
      </c>
      <c r="D346" s="4">
        <v>6.7610994932926355E-3</v>
      </c>
      <c r="E346" s="4">
        <v>7.2147177592490119E-2</v>
      </c>
      <c r="F346" s="4">
        <v>3.5285601779637854E-2</v>
      </c>
      <c r="H346" s="68">
        <f t="shared" si="5"/>
        <v>2.0446633741166305</v>
      </c>
    </row>
    <row r="347" spans="1:8" x14ac:dyDescent="0.2">
      <c r="A347" s="6">
        <v>346</v>
      </c>
      <c r="B347" s="1" t="s">
        <v>8</v>
      </c>
      <c r="C347" s="1" t="s">
        <v>46</v>
      </c>
      <c r="D347" s="4">
        <v>2395.1333948257879</v>
      </c>
      <c r="E347" s="4">
        <v>477.22826000000003</v>
      </c>
      <c r="F347" s="4">
        <v>2872.3616548257878</v>
      </c>
      <c r="H347" s="68">
        <f t="shared" si="5"/>
        <v>0.16614490699603232</v>
      </c>
    </row>
    <row r="348" spans="1:8" x14ac:dyDescent="0.2">
      <c r="A348" s="6">
        <v>347</v>
      </c>
      <c r="B348" s="1" t="s">
        <v>8</v>
      </c>
      <c r="C348" s="1" t="s">
        <v>47</v>
      </c>
      <c r="D348" s="4">
        <v>1934.2193511200132</v>
      </c>
      <c r="E348" s="4">
        <v>666.99655000000007</v>
      </c>
      <c r="F348" s="4">
        <v>2601.2159011200133</v>
      </c>
      <c r="H348" s="68">
        <f t="shared" si="5"/>
        <v>0.25641722000577089</v>
      </c>
    </row>
    <row r="349" spans="1:8" x14ac:dyDescent="0.2">
      <c r="A349" s="6">
        <v>348</v>
      </c>
      <c r="B349" s="1" t="s">
        <v>8</v>
      </c>
      <c r="C349" s="1" t="s">
        <v>48</v>
      </c>
      <c r="D349" s="4">
        <v>0</v>
      </c>
      <c r="E349" s="4">
        <v>0</v>
      </c>
      <c r="F349" s="4">
        <v>0</v>
      </c>
      <c r="H349" s="68">
        <f t="shared" si="5"/>
        <v>0</v>
      </c>
    </row>
    <row r="350" spans="1:8" x14ac:dyDescent="0.2">
      <c r="A350" s="6">
        <v>349</v>
      </c>
      <c r="B350" s="1" t="s">
        <v>8</v>
      </c>
      <c r="C350" s="1" t="s">
        <v>49</v>
      </c>
      <c r="D350" s="4">
        <v>0</v>
      </c>
      <c r="E350" s="4">
        <v>0</v>
      </c>
      <c r="F350" s="4">
        <v>0</v>
      </c>
      <c r="H350" s="68">
        <f t="shared" si="5"/>
        <v>0</v>
      </c>
    </row>
    <row r="351" spans="1:8" x14ac:dyDescent="0.2">
      <c r="A351" s="6">
        <v>350</v>
      </c>
      <c r="B351" s="1" t="s">
        <v>8</v>
      </c>
      <c r="C351" s="1" t="s">
        <v>50</v>
      </c>
      <c r="D351" s="4">
        <v>1410.4662734563708</v>
      </c>
      <c r="E351" s="4">
        <v>1640.81176</v>
      </c>
      <c r="F351" s="4">
        <v>3051.2780334563708</v>
      </c>
      <c r="H351" s="68">
        <f t="shared" si="5"/>
        <v>0.53774573867375541</v>
      </c>
    </row>
    <row r="352" spans="1:8" x14ac:dyDescent="0.2">
      <c r="A352" s="7">
        <v>351</v>
      </c>
      <c r="B352" s="8" t="s">
        <v>8</v>
      </c>
      <c r="C352" s="8" t="s">
        <v>51</v>
      </c>
      <c r="D352" s="9">
        <v>5739.8190194021718</v>
      </c>
      <c r="E352" s="9">
        <v>2785.0365700000002</v>
      </c>
      <c r="F352" s="9">
        <v>8524.855589402172</v>
      </c>
      <c r="H352" s="68">
        <f t="shared" si="5"/>
        <v>0.32669604086458293</v>
      </c>
    </row>
    <row r="353" spans="1:8" x14ac:dyDescent="0.2">
      <c r="A353" s="6">
        <v>352</v>
      </c>
      <c r="B353" s="1" t="s">
        <v>8</v>
      </c>
      <c r="C353" s="1" t="s">
        <v>33</v>
      </c>
      <c r="D353" s="4">
        <v>6.5367971526677962E-2</v>
      </c>
      <c r="E353" s="4">
        <v>4.0987698540934529E-2</v>
      </c>
      <c r="F353" s="4">
        <v>5.4732142421459087E-2</v>
      </c>
      <c r="H353" s="68">
        <f t="shared" si="5"/>
        <v>0.74887802171734996</v>
      </c>
    </row>
    <row r="354" spans="1:8" x14ac:dyDescent="0.2">
      <c r="A354" s="6">
        <v>353</v>
      </c>
      <c r="B354" s="1" t="s">
        <v>8</v>
      </c>
      <c r="C354" s="1" t="s">
        <v>52</v>
      </c>
      <c r="D354" s="4">
        <v>269.61243428723787</v>
      </c>
      <c r="E354" s="4">
        <v>1459.0062800000001</v>
      </c>
      <c r="F354" s="4">
        <v>1728.6187142872379</v>
      </c>
      <c r="H354" s="68">
        <f t="shared" si="5"/>
        <v>0.84403013107583569</v>
      </c>
    </row>
    <row r="355" spans="1:8" x14ac:dyDescent="0.2">
      <c r="A355" s="6">
        <v>354</v>
      </c>
      <c r="B355" s="1" t="s">
        <v>8</v>
      </c>
      <c r="C355" s="1" t="s">
        <v>53</v>
      </c>
      <c r="D355" s="4">
        <v>11.613917121466304</v>
      </c>
      <c r="E355" s="4">
        <v>470.09793999999999</v>
      </c>
      <c r="F355" s="4">
        <v>481.71185712146632</v>
      </c>
      <c r="H355" s="68">
        <f t="shared" si="5"/>
        <v>0.97589032333381442</v>
      </c>
    </row>
    <row r="356" spans="1:8" x14ac:dyDescent="0.2">
      <c r="A356" s="6">
        <v>355</v>
      </c>
      <c r="B356" s="1" t="s">
        <v>8</v>
      </c>
      <c r="C356" s="1" t="s">
        <v>54</v>
      </c>
      <c r="D356" s="4">
        <v>574.47701997319632</v>
      </c>
      <c r="E356" s="4">
        <v>19.977</v>
      </c>
      <c r="F356" s="4">
        <v>594.4540199731963</v>
      </c>
      <c r="H356" s="68">
        <f t="shared" si="5"/>
        <v>3.3605626892557236E-2</v>
      </c>
    </row>
    <row r="357" spans="1:8" x14ac:dyDescent="0.2">
      <c r="A357" s="6">
        <v>356</v>
      </c>
      <c r="B357" s="1" t="s">
        <v>8</v>
      </c>
      <c r="C357" s="1" t="s">
        <v>55</v>
      </c>
      <c r="D357" s="4">
        <v>849.44998797023788</v>
      </c>
      <c r="E357" s="4">
        <v>92.540929999999989</v>
      </c>
      <c r="F357" s="4">
        <v>941.99091797023789</v>
      </c>
      <c r="H357" s="68">
        <f t="shared" si="5"/>
        <v>9.823972634407481E-2</v>
      </c>
    </row>
    <row r="358" spans="1:8" x14ac:dyDescent="0.2">
      <c r="A358" s="6">
        <v>357</v>
      </c>
      <c r="B358" s="1" t="s">
        <v>8</v>
      </c>
      <c r="C358" s="1" t="s">
        <v>56</v>
      </c>
      <c r="D358" s="4">
        <v>3200.9574699999998</v>
      </c>
      <c r="E358" s="4">
        <v>25335.220439999997</v>
      </c>
      <c r="F358" s="4">
        <v>28536.177909999999</v>
      </c>
      <c r="H358" s="68">
        <f t="shared" si="5"/>
        <v>0.88782809386402506</v>
      </c>
    </row>
    <row r="359" spans="1:8" x14ac:dyDescent="0.2">
      <c r="A359" s="6">
        <v>358</v>
      </c>
      <c r="B359" s="1" t="s">
        <v>8</v>
      </c>
      <c r="C359" s="1" t="s">
        <v>57</v>
      </c>
      <c r="D359" s="4">
        <v>0</v>
      </c>
      <c r="E359" s="4">
        <v>0</v>
      </c>
      <c r="F359" s="4">
        <v>0</v>
      </c>
      <c r="H359" s="68">
        <f t="shared" si="5"/>
        <v>0</v>
      </c>
    </row>
    <row r="360" spans="1:8" x14ac:dyDescent="0.2">
      <c r="A360" s="6">
        <v>359</v>
      </c>
      <c r="B360" s="1" t="s">
        <v>8</v>
      </c>
      <c r="C360" s="1" t="s">
        <v>58</v>
      </c>
      <c r="D360" s="4">
        <v>524.69932178296278</v>
      </c>
      <c r="E360" s="4">
        <v>93.026880000000006</v>
      </c>
      <c r="F360" s="4">
        <v>617.72620178296279</v>
      </c>
      <c r="H360" s="68">
        <f t="shared" si="5"/>
        <v>0.15059565181385146</v>
      </c>
    </row>
    <row r="361" spans="1:8" x14ac:dyDescent="0.2">
      <c r="A361" s="7">
        <v>360</v>
      </c>
      <c r="B361" s="8" t="s">
        <v>8</v>
      </c>
      <c r="C361" s="8" t="s">
        <v>59</v>
      </c>
      <c r="D361" s="9">
        <v>5430.8101511351015</v>
      </c>
      <c r="E361" s="9">
        <v>27469.869469999998</v>
      </c>
      <c r="F361" s="9">
        <v>32900.679621135103</v>
      </c>
      <c r="H361" s="68">
        <f t="shared" si="5"/>
        <v>0.83493319245458986</v>
      </c>
    </row>
    <row r="362" spans="1:8" x14ac:dyDescent="0.2">
      <c r="A362" s="6">
        <v>361</v>
      </c>
      <c r="B362" s="1" t="s">
        <v>8</v>
      </c>
      <c r="C362" s="1" t="s">
        <v>33</v>
      </c>
      <c r="D362" s="4">
        <v>6.1848821735701331E-2</v>
      </c>
      <c r="E362" s="4">
        <v>0.40427717931013768</v>
      </c>
      <c r="F362" s="4">
        <v>0.21123227999608185</v>
      </c>
      <c r="H362" s="68">
        <f t="shared" si="5"/>
        <v>1.9138986679386154</v>
      </c>
    </row>
    <row r="363" spans="1:8" x14ac:dyDescent="0.2">
      <c r="A363" s="6">
        <v>362</v>
      </c>
      <c r="B363" s="1" t="s">
        <v>8</v>
      </c>
      <c r="C363" s="1" t="s">
        <v>60</v>
      </c>
      <c r="D363" s="4">
        <v>4379.4817711167916</v>
      </c>
      <c r="E363" s="4">
        <v>427.95143000000002</v>
      </c>
      <c r="F363" s="4">
        <v>4807.4332011167917</v>
      </c>
      <c r="H363" s="68">
        <f t="shared" si="5"/>
        <v>8.901869502847895E-2</v>
      </c>
    </row>
    <row r="364" spans="1:8" x14ac:dyDescent="0.2">
      <c r="A364" s="6">
        <v>363</v>
      </c>
      <c r="B364" s="1" t="s">
        <v>8</v>
      </c>
      <c r="C364" s="1" t="s">
        <v>61</v>
      </c>
      <c r="D364" s="4">
        <v>1819.0962291934682</v>
      </c>
      <c r="E364" s="4">
        <v>511.91111000000001</v>
      </c>
      <c r="F364" s="4">
        <v>2331.0073391934684</v>
      </c>
      <c r="H364" s="68">
        <f t="shared" si="5"/>
        <v>0.21960939435614216</v>
      </c>
    </row>
    <row r="365" spans="1:8" x14ac:dyDescent="0.2">
      <c r="A365" s="6">
        <v>364</v>
      </c>
      <c r="B365" s="1" t="s">
        <v>8</v>
      </c>
      <c r="C365" s="1" t="s">
        <v>62</v>
      </c>
      <c r="D365" s="4">
        <v>2254.4131475587305</v>
      </c>
      <c r="E365" s="4">
        <v>4502.6931100000002</v>
      </c>
      <c r="F365" s="4">
        <v>6757.1062575587312</v>
      </c>
      <c r="H365" s="68">
        <f t="shared" si="5"/>
        <v>0.6663641118508582</v>
      </c>
    </row>
    <row r="366" spans="1:8" x14ac:dyDescent="0.2">
      <c r="A366" s="6">
        <v>365</v>
      </c>
      <c r="B366" s="1" t="s">
        <v>8</v>
      </c>
      <c r="C366" s="1" t="s">
        <v>63</v>
      </c>
      <c r="D366" s="4">
        <v>0</v>
      </c>
      <c r="E366" s="4">
        <v>0</v>
      </c>
      <c r="F366" s="4">
        <v>0</v>
      </c>
      <c r="H366" s="68">
        <f t="shared" si="5"/>
        <v>0</v>
      </c>
    </row>
    <row r="367" spans="1:8" x14ac:dyDescent="0.2">
      <c r="A367" s="6">
        <v>366</v>
      </c>
      <c r="B367" s="1" t="s">
        <v>8</v>
      </c>
      <c r="C367" s="1" t="s">
        <v>64</v>
      </c>
      <c r="D367" s="4">
        <v>782.76133211979675</v>
      </c>
      <c r="E367" s="4">
        <v>0</v>
      </c>
      <c r="F367" s="4">
        <v>782.76133211979675</v>
      </c>
      <c r="H367" s="68">
        <f t="shared" si="5"/>
        <v>0</v>
      </c>
    </row>
    <row r="368" spans="1:8" x14ac:dyDescent="0.2">
      <c r="A368" s="7">
        <v>367</v>
      </c>
      <c r="B368" s="8" t="s">
        <v>8</v>
      </c>
      <c r="C368" s="8" t="s">
        <v>65</v>
      </c>
      <c r="D368" s="9">
        <v>9235.7524799887869</v>
      </c>
      <c r="E368" s="9">
        <v>5442.5556500000002</v>
      </c>
      <c r="F368" s="9">
        <v>14678.308129988787</v>
      </c>
      <c r="H368" s="68">
        <f t="shared" si="5"/>
        <v>0.37078903112004352</v>
      </c>
    </row>
    <row r="369" spans="1:8" x14ac:dyDescent="0.2">
      <c r="A369" s="6">
        <v>368</v>
      </c>
      <c r="B369" s="1" t="s">
        <v>8</v>
      </c>
      <c r="C369" s="1" t="s">
        <v>33</v>
      </c>
      <c r="D369" s="4">
        <v>0.10518143570356558</v>
      </c>
      <c r="E369" s="4">
        <v>8.0098707743166173E-2</v>
      </c>
      <c r="F369" s="4">
        <v>9.4239162488023553E-2</v>
      </c>
      <c r="H369" s="68">
        <f t="shared" si="5"/>
        <v>0.84995139630348016</v>
      </c>
    </row>
    <row r="370" spans="1:8" x14ac:dyDescent="0.2">
      <c r="A370" s="6">
        <v>369</v>
      </c>
      <c r="B370" s="1" t="s">
        <v>8</v>
      </c>
      <c r="C370" s="1" t="s">
        <v>66</v>
      </c>
      <c r="D370" s="4">
        <v>503.50238354734881</v>
      </c>
      <c r="E370" s="4">
        <v>9.6016399999999997</v>
      </c>
      <c r="F370" s="4">
        <v>513.10402354734879</v>
      </c>
      <c r="H370" s="68">
        <f t="shared" si="5"/>
        <v>1.8712852675796584E-2</v>
      </c>
    </row>
    <row r="371" spans="1:8" x14ac:dyDescent="0.2">
      <c r="A371" s="6">
        <v>370</v>
      </c>
      <c r="B371" s="1" t="s">
        <v>8</v>
      </c>
      <c r="C371" s="1" t="s">
        <v>67</v>
      </c>
      <c r="D371" s="4">
        <v>1861.7568384905924</v>
      </c>
      <c r="E371" s="4">
        <v>428.98914000000002</v>
      </c>
      <c r="F371" s="4">
        <v>2290.7459784905923</v>
      </c>
      <c r="H371" s="68">
        <f t="shared" si="5"/>
        <v>0.18727049791992545</v>
      </c>
    </row>
    <row r="372" spans="1:8" x14ac:dyDescent="0.2">
      <c r="A372" s="6">
        <v>371</v>
      </c>
      <c r="B372" s="1" t="s">
        <v>8</v>
      </c>
      <c r="C372" s="1" t="s">
        <v>68</v>
      </c>
      <c r="D372" s="4">
        <v>724.55973742442609</v>
      </c>
      <c r="E372" s="4">
        <v>416.61803000000003</v>
      </c>
      <c r="F372" s="4">
        <v>1141.1777674244261</v>
      </c>
      <c r="H372" s="68">
        <f t="shared" si="5"/>
        <v>0.36507724027982374</v>
      </c>
    </row>
    <row r="373" spans="1:8" x14ac:dyDescent="0.2">
      <c r="A373" s="6">
        <v>372</v>
      </c>
      <c r="B373" s="1" t="s">
        <v>8</v>
      </c>
      <c r="C373" s="1" t="s">
        <v>69</v>
      </c>
      <c r="D373" s="4">
        <v>314.08802207832593</v>
      </c>
      <c r="E373" s="4">
        <v>0</v>
      </c>
      <c r="F373" s="4">
        <v>314.08802207832593</v>
      </c>
      <c r="H373" s="68">
        <f t="shared" si="5"/>
        <v>0</v>
      </c>
    </row>
    <row r="374" spans="1:8" x14ac:dyDescent="0.2">
      <c r="A374" s="6">
        <v>373</v>
      </c>
      <c r="B374" s="1" t="s">
        <v>8</v>
      </c>
      <c r="C374" s="1" t="s">
        <v>70</v>
      </c>
      <c r="D374" s="4">
        <v>3347.36922</v>
      </c>
      <c r="E374" s="4">
        <v>2165.9174500000004</v>
      </c>
      <c r="F374" s="4">
        <v>5513.2866700000004</v>
      </c>
      <c r="H374" s="68">
        <f t="shared" si="5"/>
        <v>0.39285413214328652</v>
      </c>
    </row>
    <row r="375" spans="1:8" x14ac:dyDescent="0.2">
      <c r="A375" s="6">
        <v>374</v>
      </c>
      <c r="B375" s="1" t="s">
        <v>8</v>
      </c>
      <c r="C375" s="1" t="s">
        <v>71</v>
      </c>
      <c r="D375" s="4">
        <v>0</v>
      </c>
      <c r="E375" s="4">
        <v>0</v>
      </c>
      <c r="F375" s="4">
        <v>0</v>
      </c>
      <c r="H375" s="68">
        <f t="shared" si="5"/>
        <v>0</v>
      </c>
    </row>
    <row r="376" spans="1:8" x14ac:dyDescent="0.2">
      <c r="A376" s="6">
        <v>375</v>
      </c>
      <c r="B376" s="1" t="s">
        <v>8</v>
      </c>
      <c r="C376" s="1" t="s">
        <v>72</v>
      </c>
      <c r="D376" s="4">
        <v>2010.4600102882869</v>
      </c>
      <c r="E376" s="4">
        <v>513.00265999999999</v>
      </c>
      <c r="F376" s="4">
        <v>2523.462670288287</v>
      </c>
      <c r="H376" s="68">
        <f t="shared" si="5"/>
        <v>0.20329314399621898</v>
      </c>
    </row>
    <row r="377" spans="1:8" x14ac:dyDescent="0.2">
      <c r="A377" s="6">
        <v>376</v>
      </c>
      <c r="B377" s="1" t="s">
        <v>8</v>
      </c>
      <c r="C377" s="1" t="s">
        <v>73</v>
      </c>
      <c r="D377" s="4">
        <v>2321.9825700000001</v>
      </c>
      <c r="E377" s="4">
        <v>597.99353000000008</v>
      </c>
      <c r="F377" s="4">
        <v>2919.9761000000003</v>
      </c>
      <c r="H377" s="68">
        <f t="shared" si="5"/>
        <v>0.20479398101922822</v>
      </c>
    </row>
    <row r="378" spans="1:8" x14ac:dyDescent="0.2">
      <c r="A378" s="6">
        <v>377</v>
      </c>
      <c r="B378" s="1" t="s">
        <v>8</v>
      </c>
      <c r="C378" s="1" t="s">
        <v>74</v>
      </c>
      <c r="D378" s="4">
        <v>2008.1026537885903</v>
      </c>
      <c r="E378" s="4">
        <v>351.19034000000005</v>
      </c>
      <c r="F378" s="4">
        <v>2359.2929937885901</v>
      </c>
      <c r="H378" s="68">
        <f t="shared" si="5"/>
        <v>0.14885405963760906</v>
      </c>
    </row>
    <row r="379" spans="1:8" x14ac:dyDescent="0.2">
      <c r="A379" s="6">
        <v>378</v>
      </c>
      <c r="B379" s="1" t="s">
        <v>8</v>
      </c>
      <c r="C379" s="1" t="s">
        <v>75</v>
      </c>
      <c r="D379" s="4">
        <v>0</v>
      </c>
      <c r="E379" s="4">
        <v>0</v>
      </c>
      <c r="F379" s="4">
        <v>0</v>
      </c>
      <c r="H379" s="68">
        <f t="shared" si="5"/>
        <v>0</v>
      </c>
    </row>
    <row r="380" spans="1:8" x14ac:dyDescent="0.2">
      <c r="A380" s="6">
        <v>379</v>
      </c>
      <c r="B380" s="1" t="s">
        <v>8</v>
      </c>
      <c r="C380" s="1" t="s">
        <v>76</v>
      </c>
      <c r="D380" s="4">
        <v>0</v>
      </c>
      <c r="E380" s="4">
        <v>0</v>
      </c>
      <c r="F380" s="4">
        <v>0</v>
      </c>
      <c r="H380" s="68">
        <f t="shared" si="5"/>
        <v>0</v>
      </c>
    </row>
    <row r="381" spans="1:8" x14ac:dyDescent="0.2">
      <c r="A381" s="6">
        <v>380</v>
      </c>
      <c r="B381" s="1" t="s">
        <v>8</v>
      </c>
      <c r="C381" s="1" t="s">
        <v>77</v>
      </c>
      <c r="D381" s="4">
        <v>1.26</v>
      </c>
      <c r="E381" s="4">
        <v>0</v>
      </c>
      <c r="F381" s="4">
        <v>1.26</v>
      </c>
      <c r="H381" s="68">
        <f t="shared" si="5"/>
        <v>0</v>
      </c>
    </row>
    <row r="382" spans="1:8" x14ac:dyDescent="0.2">
      <c r="A382" s="6">
        <v>381</v>
      </c>
      <c r="B382" s="1" t="s">
        <v>8</v>
      </c>
      <c r="C382" s="1" t="s">
        <v>78</v>
      </c>
      <c r="D382" s="4">
        <v>0</v>
      </c>
      <c r="E382" s="4">
        <v>0</v>
      </c>
      <c r="F382" s="4">
        <v>0</v>
      </c>
      <c r="H382" s="68">
        <f t="shared" si="5"/>
        <v>0</v>
      </c>
    </row>
    <row r="383" spans="1:8" x14ac:dyDescent="0.2">
      <c r="A383" s="7">
        <v>382</v>
      </c>
      <c r="B383" s="8" t="s">
        <v>8</v>
      </c>
      <c r="C383" s="8" t="s">
        <v>79</v>
      </c>
      <c r="D383" s="9">
        <v>13093.081435617571</v>
      </c>
      <c r="E383" s="9">
        <v>4483.3127900000009</v>
      </c>
      <c r="F383" s="9">
        <v>17576.394225617572</v>
      </c>
      <c r="H383" s="68">
        <f t="shared" si="5"/>
        <v>0.25507579839473438</v>
      </c>
    </row>
    <row r="384" spans="1:8" x14ac:dyDescent="0.2">
      <c r="A384" s="6">
        <v>383</v>
      </c>
      <c r="B384" s="1" t="s">
        <v>8</v>
      </c>
      <c r="C384" s="1" t="s">
        <v>33</v>
      </c>
      <c r="D384" s="4">
        <v>0.14911065515948407</v>
      </c>
      <c r="E384" s="4">
        <v>6.5981421960730716E-2</v>
      </c>
      <c r="F384" s="4">
        <v>0.11284574875475098</v>
      </c>
      <c r="H384" s="68">
        <f t="shared" si="5"/>
        <v>0.58470454304954755</v>
      </c>
    </row>
    <row r="385" spans="1:8" x14ac:dyDescent="0.2">
      <c r="A385" s="6">
        <v>384</v>
      </c>
      <c r="B385" s="1" t="s">
        <v>8</v>
      </c>
      <c r="C385" s="1" t="s">
        <v>80</v>
      </c>
      <c r="D385" s="4">
        <v>0</v>
      </c>
      <c r="E385" s="4">
        <v>0</v>
      </c>
      <c r="F385" s="4">
        <v>0</v>
      </c>
      <c r="H385" s="68">
        <f t="shared" si="5"/>
        <v>0</v>
      </c>
    </row>
    <row r="386" spans="1:8" x14ac:dyDescent="0.2">
      <c r="A386" s="6">
        <v>385</v>
      </c>
      <c r="B386" s="1" t="s">
        <v>8</v>
      </c>
      <c r="C386" s="1" t="s">
        <v>81</v>
      </c>
      <c r="D386" s="4">
        <v>7.8700000000000003E-3</v>
      </c>
      <c r="E386" s="4">
        <v>0</v>
      </c>
      <c r="F386" s="4">
        <v>7.8700000000000003E-3</v>
      </c>
      <c r="H386" s="68">
        <f t="shared" si="5"/>
        <v>0</v>
      </c>
    </row>
    <row r="387" spans="1:8" x14ac:dyDescent="0.2">
      <c r="A387" s="6">
        <v>386</v>
      </c>
      <c r="B387" s="1" t="s">
        <v>8</v>
      </c>
      <c r="C387" s="1" t="s">
        <v>82</v>
      </c>
      <c r="D387" s="4">
        <v>3057.4202200000004</v>
      </c>
      <c r="E387" s="4">
        <v>13.15255</v>
      </c>
      <c r="F387" s="4">
        <v>3070.5727700000002</v>
      </c>
      <c r="H387" s="68">
        <f t="shared" ref="H387:H450" si="6">IFERROR(E387/F387,0)</f>
        <v>4.2834190834044293E-3</v>
      </c>
    </row>
    <row r="388" spans="1:8" x14ac:dyDescent="0.2">
      <c r="A388" s="6">
        <v>387</v>
      </c>
      <c r="B388" s="1" t="s">
        <v>8</v>
      </c>
      <c r="C388" s="1" t="s">
        <v>83</v>
      </c>
      <c r="D388" s="4">
        <v>1.345</v>
      </c>
      <c r="E388" s="4">
        <v>1323.9438500000001</v>
      </c>
      <c r="F388" s="4">
        <v>1325.2888500000001</v>
      </c>
      <c r="H388" s="68">
        <f t="shared" si="6"/>
        <v>0.99898512690271257</v>
      </c>
    </row>
    <row r="389" spans="1:8" x14ac:dyDescent="0.2">
      <c r="A389" s="6">
        <v>388</v>
      </c>
      <c r="B389" s="1" t="s">
        <v>8</v>
      </c>
      <c r="C389" s="1" t="s">
        <v>84</v>
      </c>
      <c r="D389" s="4">
        <v>0</v>
      </c>
      <c r="E389" s="4">
        <v>1940.7972</v>
      </c>
      <c r="F389" s="4">
        <v>1940.7972</v>
      </c>
      <c r="H389" s="68">
        <f t="shared" si="6"/>
        <v>1</v>
      </c>
    </row>
    <row r="390" spans="1:8" x14ac:dyDescent="0.2">
      <c r="A390" s="6">
        <v>389</v>
      </c>
      <c r="B390" s="1" t="s">
        <v>8</v>
      </c>
      <c r="C390" s="1" t="s">
        <v>85</v>
      </c>
      <c r="D390" s="4">
        <v>0</v>
      </c>
      <c r="E390" s="4">
        <v>0</v>
      </c>
      <c r="F390" s="4">
        <v>0</v>
      </c>
      <c r="H390" s="68">
        <f t="shared" si="6"/>
        <v>0</v>
      </c>
    </row>
    <row r="391" spans="1:8" x14ac:dyDescent="0.2">
      <c r="A391" s="7">
        <v>390</v>
      </c>
      <c r="B391" s="8" t="s">
        <v>8</v>
      </c>
      <c r="C391" s="8" t="s">
        <v>86</v>
      </c>
      <c r="D391" s="9">
        <v>3058.7730900000001</v>
      </c>
      <c r="E391" s="9">
        <v>3277.8936000000003</v>
      </c>
      <c r="F391" s="9">
        <v>6336.66669</v>
      </c>
      <c r="H391" s="68">
        <f t="shared" si="6"/>
        <v>0.5172898876270231</v>
      </c>
    </row>
    <row r="392" spans="1:8" x14ac:dyDescent="0.2">
      <c r="A392" s="6">
        <v>391</v>
      </c>
      <c r="B392" s="1" t="s">
        <v>8</v>
      </c>
      <c r="C392" s="1" t="s">
        <v>33</v>
      </c>
      <c r="D392" s="4">
        <v>3.4834860050084654E-2</v>
      </c>
      <c r="E392" s="4">
        <v>4.8241131255974366E-2</v>
      </c>
      <c r="F392" s="4">
        <v>4.0683310129681315E-2</v>
      </c>
      <c r="H392" s="68">
        <f t="shared" si="6"/>
        <v>1.1857720304026858</v>
      </c>
    </row>
    <row r="393" spans="1:8" x14ac:dyDescent="0.2">
      <c r="A393" s="6">
        <v>392</v>
      </c>
      <c r="B393" s="1" t="s">
        <v>8</v>
      </c>
      <c r="C393" s="1" t="s">
        <v>87</v>
      </c>
      <c r="D393" s="4">
        <v>0</v>
      </c>
      <c r="E393" s="4">
        <v>0</v>
      </c>
      <c r="F393" s="4">
        <v>0</v>
      </c>
      <c r="H393" s="68">
        <f t="shared" si="6"/>
        <v>0</v>
      </c>
    </row>
    <row r="394" spans="1:8" x14ac:dyDescent="0.2">
      <c r="A394" s="6">
        <v>393</v>
      </c>
      <c r="B394" s="1" t="s">
        <v>8</v>
      </c>
      <c r="C394" s="1" t="s">
        <v>88</v>
      </c>
      <c r="D394" s="4">
        <v>0</v>
      </c>
      <c r="E394" s="4">
        <v>0</v>
      </c>
      <c r="F394" s="4">
        <v>0</v>
      </c>
      <c r="H394" s="68">
        <f t="shared" si="6"/>
        <v>0</v>
      </c>
    </row>
    <row r="395" spans="1:8" x14ac:dyDescent="0.2">
      <c r="A395" s="7">
        <v>394</v>
      </c>
      <c r="B395" s="8" t="s">
        <v>8</v>
      </c>
      <c r="C395" s="8" t="s">
        <v>89</v>
      </c>
      <c r="D395" s="9">
        <v>0</v>
      </c>
      <c r="E395" s="9">
        <v>0</v>
      </c>
      <c r="F395" s="9">
        <v>0</v>
      </c>
      <c r="H395" s="68">
        <f t="shared" si="6"/>
        <v>0</v>
      </c>
    </row>
    <row r="396" spans="1:8" x14ac:dyDescent="0.2">
      <c r="A396" s="6">
        <v>395</v>
      </c>
      <c r="B396" s="1" t="s">
        <v>8</v>
      </c>
      <c r="C396" s="1" t="s">
        <v>33</v>
      </c>
      <c r="D396" s="4">
        <v>0</v>
      </c>
      <c r="E396" s="4">
        <v>0</v>
      </c>
      <c r="F396" s="4">
        <v>0</v>
      </c>
      <c r="H396" s="68">
        <f t="shared" si="6"/>
        <v>0</v>
      </c>
    </row>
    <row r="397" spans="1:8" x14ac:dyDescent="0.2">
      <c r="A397" s="6">
        <v>396</v>
      </c>
      <c r="B397" s="1" t="s">
        <v>8</v>
      </c>
      <c r="C397" s="1" t="s">
        <v>90</v>
      </c>
      <c r="D397" s="4">
        <v>1072.5999999999999</v>
      </c>
      <c r="E397" s="4">
        <v>1441.5059199999998</v>
      </c>
      <c r="F397" s="4">
        <v>2514.10592</v>
      </c>
      <c r="H397" s="68">
        <f t="shared" si="6"/>
        <v>0.57336721915041666</v>
      </c>
    </row>
    <row r="398" spans="1:8" x14ac:dyDescent="0.2">
      <c r="A398" s="6">
        <v>397</v>
      </c>
      <c r="B398" s="1" t="s">
        <v>8</v>
      </c>
      <c r="C398" s="1" t="s">
        <v>33</v>
      </c>
      <c r="D398" s="4">
        <v>1.2215313065187451E-2</v>
      </c>
      <c r="E398" s="4">
        <v>2.1214805841466015E-2</v>
      </c>
      <c r="F398" s="4">
        <v>1.6141317800988479E-2</v>
      </c>
      <c r="H398" s="68">
        <f t="shared" si="6"/>
        <v>1.3143168422200844</v>
      </c>
    </row>
    <row r="399" spans="1:8" x14ac:dyDescent="0.2">
      <c r="A399" s="6">
        <v>398</v>
      </c>
      <c r="B399" s="1" t="s">
        <v>8</v>
      </c>
      <c r="C399" s="1" t="s">
        <v>91</v>
      </c>
      <c r="D399" s="4">
        <v>929.06277</v>
      </c>
      <c r="E399" s="4">
        <v>157.20583999999999</v>
      </c>
      <c r="F399" s="4">
        <v>1086.2686100000001</v>
      </c>
      <c r="H399" s="68">
        <f t="shared" si="6"/>
        <v>0.14472096362979686</v>
      </c>
    </row>
    <row r="400" spans="1:8" x14ac:dyDescent="0.2">
      <c r="A400" s="6">
        <v>399</v>
      </c>
      <c r="B400" s="1" t="s">
        <v>8</v>
      </c>
      <c r="C400" s="1" t="s">
        <v>33</v>
      </c>
      <c r="D400" s="4">
        <v>1.0580638255416974E-2</v>
      </c>
      <c r="E400" s="4">
        <v>2.3136161471640519E-3</v>
      </c>
      <c r="F400" s="4">
        <v>6.9741718961657808E-3</v>
      </c>
      <c r="H400" s="68">
        <f t="shared" si="6"/>
        <v>0.33174062549792016</v>
      </c>
    </row>
    <row r="401" spans="1:8" x14ac:dyDescent="0.2">
      <c r="A401" s="10">
        <v>400</v>
      </c>
      <c r="B401" s="11" t="s">
        <v>8</v>
      </c>
      <c r="C401" s="11" t="s">
        <v>2</v>
      </c>
      <c r="D401" s="12">
        <v>87807.81911000004</v>
      </c>
      <c r="E401" s="12">
        <v>67948.108069999987</v>
      </c>
      <c r="F401" s="12">
        <v>155755.92718000003</v>
      </c>
      <c r="H401" s="68">
        <f t="shared" si="6"/>
        <v>0.43624733453305731</v>
      </c>
    </row>
    <row r="402" spans="1:8" x14ac:dyDescent="0.2">
      <c r="A402" s="6">
        <v>401</v>
      </c>
      <c r="B402" s="1" t="s">
        <v>9</v>
      </c>
      <c r="C402" s="1" t="s">
        <v>23</v>
      </c>
      <c r="D402" s="4">
        <v>93853.1</v>
      </c>
      <c r="E402" s="4">
        <v>5140</v>
      </c>
      <c r="F402" s="4">
        <v>98993.1</v>
      </c>
      <c r="H402" s="68">
        <f t="shared" si="6"/>
        <v>5.1922810781761551E-2</v>
      </c>
    </row>
    <row r="403" spans="1:8" x14ac:dyDescent="0.2">
      <c r="A403" s="6">
        <v>402</v>
      </c>
      <c r="B403" s="1" t="s">
        <v>9</v>
      </c>
      <c r="C403" s="1" t="s">
        <v>24</v>
      </c>
      <c r="D403" s="4">
        <v>0</v>
      </c>
      <c r="E403" s="4">
        <v>0</v>
      </c>
      <c r="F403" s="4">
        <v>0</v>
      </c>
      <c r="H403" s="68">
        <f t="shared" si="6"/>
        <v>0</v>
      </c>
    </row>
    <row r="404" spans="1:8" x14ac:dyDescent="0.2">
      <c r="A404" s="6">
        <v>403</v>
      </c>
      <c r="B404" s="1" t="s">
        <v>9</v>
      </c>
      <c r="C404" s="1" t="s">
        <v>25</v>
      </c>
      <c r="D404" s="4">
        <v>0</v>
      </c>
      <c r="E404" s="4">
        <v>0</v>
      </c>
      <c r="F404" s="4">
        <v>0</v>
      </c>
      <c r="H404" s="68">
        <f t="shared" si="6"/>
        <v>0</v>
      </c>
    </row>
    <row r="405" spans="1:8" x14ac:dyDescent="0.2">
      <c r="A405" s="6">
        <v>404</v>
      </c>
      <c r="B405" s="1" t="s">
        <v>9</v>
      </c>
      <c r="C405" s="1" t="s">
        <v>26</v>
      </c>
      <c r="D405" s="4">
        <v>6702.6</v>
      </c>
      <c r="E405" s="4">
        <v>0</v>
      </c>
      <c r="F405" s="4">
        <v>6702.6</v>
      </c>
      <c r="H405" s="68">
        <f t="shared" si="6"/>
        <v>0</v>
      </c>
    </row>
    <row r="406" spans="1:8" x14ac:dyDescent="0.2">
      <c r="A406" s="6">
        <v>405</v>
      </c>
      <c r="B406" s="1" t="s">
        <v>9</v>
      </c>
      <c r="C406" s="1" t="s">
        <v>27</v>
      </c>
      <c r="D406" s="4">
        <v>7046.1</v>
      </c>
      <c r="E406" s="4">
        <v>145.6</v>
      </c>
      <c r="F406" s="4">
        <v>7191.7000000000007</v>
      </c>
      <c r="H406" s="68">
        <f t="shared" si="6"/>
        <v>2.0245560854874365E-2</v>
      </c>
    </row>
    <row r="407" spans="1:8" x14ac:dyDescent="0.2">
      <c r="A407" s="6">
        <v>406</v>
      </c>
      <c r="B407" s="1" t="s">
        <v>9</v>
      </c>
      <c r="C407" s="1" t="s">
        <v>28</v>
      </c>
      <c r="D407" s="4">
        <v>454.9</v>
      </c>
      <c r="E407" s="4">
        <v>2.4</v>
      </c>
      <c r="F407" s="4">
        <v>457.29999999999995</v>
      </c>
      <c r="H407" s="68">
        <f t="shared" si="6"/>
        <v>5.2481959326481529E-3</v>
      </c>
    </row>
    <row r="408" spans="1:8" x14ac:dyDescent="0.2">
      <c r="A408" s="6">
        <v>407</v>
      </c>
      <c r="B408" s="1" t="s">
        <v>9</v>
      </c>
      <c r="C408" s="1" t="s">
        <v>29</v>
      </c>
      <c r="D408" s="4">
        <v>2800.6</v>
      </c>
      <c r="E408" s="4">
        <v>509.7</v>
      </c>
      <c r="F408" s="4">
        <v>3310.2999999999997</v>
      </c>
      <c r="H408" s="68">
        <f t="shared" si="6"/>
        <v>0.15397396006404254</v>
      </c>
    </row>
    <row r="409" spans="1:8" x14ac:dyDescent="0.2">
      <c r="A409" s="6">
        <v>408</v>
      </c>
      <c r="B409" s="1" t="s">
        <v>9</v>
      </c>
      <c r="C409" s="1" t="s">
        <v>30</v>
      </c>
      <c r="D409" s="4">
        <v>9255.7999999999993</v>
      </c>
      <c r="E409" s="4">
        <v>804.5</v>
      </c>
      <c r="F409" s="4">
        <v>10060.299999999999</v>
      </c>
      <c r="H409" s="68">
        <f t="shared" si="6"/>
        <v>7.9967794200968167E-2</v>
      </c>
    </row>
    <row r="410" spans="1:8" x14ac:dyDescent="0.2">
      <c r="A410" s="6">
        <v>409</v>
      </c>
      <c r="B410" s="1" t="s">
        <v>9</v>
      </c>
      <c r="C410" s="1" t="s">
        <v>31</v>
      </c>
      <c r="D410" s="4">
        <v>1974.4</v>
      </c>
      <c r="E410" s="4">
        <v>748</v>
      </c>
      <c r="F410" s="4">
        <v>2722.4</v>
      </c>
      <c r="H410" s="68">
        <f t="shared" si="6"/>
        <v>0.27475756685277697</v>
      </c>
    </row>
    <row r="411" spans="1:8" x14ac:dyDescent="0.2">
      <c r="A411" s="7">
        <v>410</v>
      </c>
      <c r="B411" s="8" t="s">
        <v>9</v>
      </c>
      <c r="C411" s="8" t="s">
        <v>32</v>
      </c>
      <c r="D411" s="9">
        <v>122087.50000000001</v>
      </c>
      <c r="E411" s="9">
        <v>7350.2</v>
      </c>
      <c r="F411" s="9">
        <v>129437.70000000001</v>
      </c>
      <c r="H411" s="68">
        <f t="shared" si="6"/>
        <v>5.6785619645590112E-2</v>
      </c>
    </row>
    <row r="412" spans="1:8" x14ac:dyDescent="0.2">
      <c r="A412" s="6">
        <v>411</v>
      </c>
      <c r="B412" s="1" t="s">
        <v>9</v>
      </c>
      <c r="C412" s="1" t="s">
        <v>33</v>
      </c>
      <c r="D412" s="4">
        <v>0.48909146265738873</v>
      </c>
      <c r="E412" s="4">
        <v>4.1859228114056748E-2</v>
      </c>
      <c r="F412" s="4">
        <v>0.30440580196856037</v>
      </c>
      <c r="H412" s="68">
        <f t="shared" si="6"/>
        <v>0.13751126898159469</v>
      </c>
    </row>
    <row r="413" spans="1:8" x14ac:dyDescent="0.2">
      <c r="A413" s="6">
        <v>412</v>
      </c>
      <c r="B413" s="1" t="s">
        <v>9</v>
      </c>
      <c r="C413" s="1" t="s">
        <v>34</v>
      </c>
      <c r="D413" s="4">
        <v>224.7</v>
      </c>
      <c r="E413" s="4">
        <v>2649.8</v>
      </c>
      <c r="F413" s="4">
        <v>2874.5</v>
      </c>
      <c r="H413" s="68">
        <f t="shared" si="6"/>
        <v>0.92182988345799277</v>
      </c>
    </row>
    <row r="414" spans="1:8" x14ac:dyDescent="0.2">
      <c r="A414" s="6">
        <v>413</v>
      </c>
      <c r="B414" s="1" t="s">
        <v>9</v>
      </c>
      <c r="C414" s="1" t="s">
        <v>35</v>
      </c>
      <c r="D414" s="4">
        <v>378.6</v>
      </c>
      <c r="E414" s="4">
        <v>10456.299999999999</v>
      </c>
      <c r="F414" s="4">
        <v>10834.9</v>
      </c>
      <c r="H414" s="68">
        <f t="shared" si="6"/>
        <v>0.96505736093549543</v>
      </c>
    </row>
    <row r="415" spans="1:8" x14ac:dyDescent="0.2">
      <c r="A415" s="6">
        <v>414</v>
      </c>
      <c r="B415" s="1" t="s">
        <v>9</v>
      </c>
      <c r="C415" s="1" t="s">
        <v>36</v>
      </c>
      <c r="D415" s="4">
        <v>0</v>
      </c>
      <c r="E415" s="4">
        <v>0</v>
      </c>
      <c r="F415" s="4">
        <v>0</v>
      </c>
      <c r="H415" s="68">
        <f t="shared" si="6"/>
        <v>0</v>
      </c>
    </row>
    <row r="416" spans="1:8" x14ac:dyDescent="0.2">
      <c r="A416" s="6">
        <v>415</v>
      </c>
      <c r="B416" s="1" t="s">
        <v>9</v>
      </c>
      <c r="C416" s="1" t="s">
        <v>37</v>
      </c>
      <c r="D416" s="4">
        <v>3362.6</v>
      </c>
      <c r="E416" s="4">
        <v>988.6</v>
      </c>
      <c r="F416" s="4">
        <v>4351.2</v>
      </c>
      <c r="H416" s="68">
        <f t="shared" si="6"/>
        <v>0.22720169148740579</v>
      </c>
    </row>
    <row r="417" spans="1:8" x14ac:dyDescent="0.2">
      <c r="A417" s="7">
        <v>416</v>
      </c>
      <c r="B417" s="8" t="s">
        <v>9</v>
      </c>
      <c r="C417" s="8" t="s">
        <v>38</v>
      </c>
      <c r="D417" s="9">
        <v>3965.8999999999996</v>
      </c>
      <c r="E417" s="9">
        <v>14094.699999999999</v>
      </c>
      <c r="F417" s="9">
        <v>18060.599999999999</v>
      </c>
      <c r="H417" s="68">
        <f t="shared" si="6"/>
        <v>0.78041150349379307</v>
      </c>
    </row>
    <row r="418" spans="1:8" x14ac:dyDescent="0.2">
      <c r="A418" s="6">
        <v>417</v>
      </c>
      <c r="B418" s="1" t="s">
        <v>9</v>
      </c>
      <c r="C418" s="1" t="s">
        <v>33</v>
      </c>
      <c r="D418" s="4">
        <v>1.5887685731569057E-2</v>
      </c>
      <c r="E418" s="4">
        <v>8.02690079860678E-2</v>
      </c>
      <c r="F418" s="4">
        <v>4.2474112465173443E-2</v>
      </c>
      <c r="H418" s="68">
        <f t="shared" si="6"/>
        <v>1.8898336734377723</v>
      </c>
    </row>
    <row r="419" spans="1:8" x14ac:dyDescent="0.2">
      <c r="A419" s="6">
        <v>418</v>
      </c>
      <c r="B419" s="1" t="s">
        <v>9</v>
      </c>
      <c r="C419" s="1" t="s">
        <v>39</v>
      </c>
      <c r="D419" s="4">
        <v>0</v>
      </c>
      <c r="E419" s="4">
        <v>0</v>
      </c>
      <c r="F419" s="4">
        <v>0</v>
      </c>
      <c r="H419" s="68">
        <f t="shared" si="6"/>
        <v>0</v>
      </c>
    </row>
    <row r="420" spans="1:8" x14ac:dyDescent="0.2">
      <c r="A420" s="6">
        <v>419</v>
      </c>
      <c r="B420" s="1" t="s">
        <v>9</v>
      </c>
      <c r="C420" s="1" t="s">
        <v>40</v>
      </c>
      <c r="D420" s="4">
        <v>729.1</v>
      </c>
      <c r="E420" s="4">
        <v>4779.1000000000004</v>
      </c>
      <c r="F420" s="4">
        <v>5508.2000000000007</v>
      </c>
      <c r="H420" s="68">
        <f t="shared" si="6"/>
        <v>0.8676337097418394</v>
      </c>
    </row>
    <row r="421" spans="1:8" x14ac:dyDescent="0.2">
      <c r="A421" s="6">
        <v>420</v>
      </c>
      <c r="B421" s="1" t="s">
        <v>9</v>
      </c>
      <c r="C421" s="1" t="s">
        <v>41</v>
      </c>
      <c r="D421" s="4">
        <v>524.4</v>
      </c>
      <c r="E421" s="4">
        <v>14719.3</v>
      </c>
      <c r="F421" s="4">
        <v>15243.699999999999</v>
      </c>
      <c r="H421" s="68">
        <f t="shared" si="6"/>
        <v>0.96559890315343389</v>
      </c>
    </row>
    <row r="422" spans="1:8" x14ac:dyDescent="0.2">
      <c r="A422" s="6">
        <v>421</v>
      </c>
      <c r="B422" s="1" t="s">
        <v>9</v>
      </c>
      <c r="C422" s="1" t="s">
        <v>42</v>
      </c>
      <c r="D422" s="4">
        <v>429.5</v>
      </c>
      <c r="E422" s="4">
        <v>565.9</v>
      </c>
      <c r="F422" s="4">
        <v>995.4</v>
      </c>
      <c r="H422" s="68">
        <f t="shared" si="6"/>
        <v>0.56851516978099259</v>
      </c>
    </row>
    <row r="423" spans="1:8" x14ac:dyDescent="0.2">
      <c r="A423" s="6">
        <v>422</v>
      </c>
      <c r="B423" s="1" t="s">
        <v>9</v>
      </c>
      <c r="C423" s="1" t="s">
        <v>43</v>
      </c>
      <c r="D423" s="4">
        <v>0</v>
      </c>
      <c r="E423" s="4">
        <v>0</v>
      </c>
      <c r="F423" s="4">
        <v>0</v>
      </c>
      <c r="H423" s="68">
        <f t="shared" si="6"/>
        <v>0</v>
      </c>
    </row>
    <row r="424" spans="1:8" x14ac:dyDescent="0.2">
      <c r="A424" s="6">
        <v>423</v>
      </c>
      <c r="B424" s="1" t="s">
        <v>9</v>
      </c>
      <c r="C424" s="1" t="s">
        <v>44</v>
      </c>
      <c r="D424" s="4">
        <v>288.89999999999998</v>
      </c>
      <c r="E424" s="4">
        <v>1990</v>
      </c>
      <c r="F424" s="4">
        <v>2278.9</v>
      </c>
      <c r="H424" s="68">
        <f t="shared" si="6"/>
        <v>0.87322831190486638</v>
      </c>
    </row>
    <row r="425" spans="1:8" x14ac:dyDescent="0.2">
      <c r="A425" s="7">
        <v>424</v>
      </c>
      <c r="B425" s="8" t="s">
        <v>9</v>
      </c>
      <c r="C425" s="8" t="s">
        <v>45</v>
      </c>
      <c r="D425" s="9">
        <v>1971.9</v>
      </c>
      <c r="E425" s="9">
        <v>22054.300000000003</v>
      </c>
      <c r="F425" s="9">
        <v>24026.200000000004</v>
      </c>
      <c r="H425" s="68">
        <f t="shared" si="6"/>
        <v>0.91792709625325686</v>
      </c>
    </row>
    <row r="426" spans="1:8" x14ac:dyDescent="0.2">
      <c r="A426" s="6">
        <v>425</v>
      </c>
      <c r="B426" s="1" t="s">
        <v>9</v>
      </c>
      <c r="C426" s="1" t="s">
        <v>33</v>
      </c>
      <c r="D426" s="4">
        <v>7.8995757568473823E-3</v>
      </c>
      <c r="E426" s="4">
        <v>0.12559875576118226</v>
      </c>
      <c r="F426" s="4">
        <v>5.650374411208655E-2</v>
      </c>
      <c r="H426" s="68">
        <f t="shared" si="6"/>
        <v>2.2228395256787206</v>
      </c>
    </row>
    <row r="427" spans="1:8" x14ac:dyDescent="0.2">
      <c r="A427" s="6">
        <v>426</v>
      </c>
      <c r="B427" s="1" t="s">
        <v>9</v>
      </c>
      <c r="C427" s="1" t="s">
        <v>46</v>
      </c>
      <c r="D427" s="4">
        <v>13747</v>
      </c>
      <c r="E427" s="4">
        <v>634.1</v>
      </c>
      <c r="F427" s="4">
        <v>14381.1</v>
      </c>
      <c r="H427" s="68">
        <f t="shared" si="6"/>
        <v>4.4092593751521095E-2</v>
      </c>
    </row>
    <row r="428" spans="1:8" x14ac:dyDescent="0.2">
      <c r="A428" s="6">
        <v>427</v>
      </c>
      <c r="B428" s="1" t="s">
        <v>9</v>
      </c>
      <c r="C428" s="1" t="s">
        <v>47</v>
      </c>
      <c r="D428" s="4">
        <v>7944.2</v>
      </c>
      <c r="E428" s="4">
        <v>146.4</v>
      </c>
      <c r="F428" s="4">
        <v>8090.5999999999995</v>
      </c>
      <c r="H428" s="68">
        <f t="shared" si="6"/>
        <v>1.8095073294934864E-2</v>
      </c>
    </row>
    <row r="429" spans="1:8" x14ac:dyDescent="0.2">
      <c r="A429" s="6">
        <v>428</v>
      </c>
      <c r="B429" s="1" t="s">
        <v>9</v>
      </c>
      <c r="C429" s="1" t="s">
        <v>48</v>
      </c>
      <c r="D429" s="4">
        <v>250.8</v>
      </c>
      <c r="E429" s="4">
        <v>45.8</v>
      </c>
      <c r="F429" s="4">
        <v>296.60000000000002</v>
      </c>
      <c r="H429" s="68">
        <f t="shared" si="6"/>
        <v>0.15441672285906943</v>
      </c>
    </row>
    <row r="430" spans="1:8" x14ac:dyDescent="0.2">
      <c r="A430" s="6">
        <v>429</v>
      </c>
      <c r="B430" s="1" t="s">
        <v>9</v>
      </c>
      <c r="C430" s="1" t="s">
        <v>49</v>
      </c>
      <c r="D430" s="4">
        <v>0</v>
      </c>
      <c r="E430" s="4">
        <v>0</v>
      </c>
      <c r="F430" s="4">
        <v>0</v>
      </c>
      <c r="H430" s="68">
        <f t="shared" si="6"/>
        <v>0</v>
      </c>
    </row>
    <row r="431" spans="1:8" x14ac:dyDescent="0.2">
      <c r="A431" s="6">
        <v>430</v>
      </c>
      <c r="B431" s="1" t="s">
        <v>9</v>
      </c>
      <c r="C431" s="1" t="s">
        <v>50</v>
      </c>
      <c r="D431" s="4">
        <v>662.5</v>
      </c>
      <c r="E431" s="4">
        <v>1785.6</v>
      </c>
      <c r="F431" s="4">
        <v>2448.1</v>
      </c>
      <c r="H431" s="68">
        <f t="shared" si="6"/>
        <v>0.72938196969078062</v>
      </c>
    </row>
    <row r="432" spans="1:8" x14ac:dyDescent="0.2">
      <c r="A432" s="7">
        <v>431</v>
      </c>
      <c r="B432" s="8" t="s">
        <v>9</v>
      </c>
      <c r="C432" s="8" t="s">
        <v>51</v>
      </c>
      <c r="D432" s="9">
        <v>22604.5</v>
      </c>
      <c r="E432" s="9">
        <v>2611.8999999999996</v>
      </c>
      <c r="F432" s="9">
        <v>25216.400000000001</v>
      </c>
      <c r="H432" s="68">
        <f t="shared" si="6"/>
        <v>0.1035794165701686</v>
      </c>
    </row>
    <row r="433" spans="1:8" x14ac:dyDescent="0.2">
      <c r="A433" s="6">
        <v>432</v>
      </c>
      <c r="B433" s="1" t="s">
        <v>9</v>
      </c>
      <c r="C433" s="1" t="s">
        <v>33</v>
      </c>
      <c r="D433" s="4">
        <v>9.0555281807219751E-2</v>
      </c>
      <c r="E433" s="4">
        <v>1.487471332903932E-2</v>
      </c>
      <c r="F433" s="4">
        <v>5.9302803315880961E-2</v>
      </c>
      <c r="H433" s="68">
        <f t="shared" si="6"/>
        <v>0.250826478637241</v>
      </c>
    </row>
    <row r="434" spans="1:8" x14ac:dyDescent="0.2">
      <c r="A434" s="6">
        <v>433</v>
      </c>
      <c r="B434" s="1" t="s">
        <v>9</v>
      </c>
      <c r="C434" s="1" t="s">
        <v>52</v>
      </c>
      <c r="D434" s="4">
        <v>1241.8</v>
      </c>
      <c r="E434" s="4">
        <v>4039.5</v>
      </c>
      <c r="F434" s="4">
        <v>5281.3</v>
      </c>
      <c r="H434" s="68">
        <f t="shared" si="6"/>
        <v>0.76486849828640668</v>
      </c>
    </row>
    <row r="435" spans="1:8" x14ac:dyDescent="0.2">
      <c r="A435" s="6">
        <v>434</v>
      </c>
      <c r="B435" s="1" t="s">
        <v>9</v>
      </c>
      <c r="C435" s="1" t="s">
        <v>53</v>
      </c>
      <c r="D435" s="4">
        <v>0</v>
      </c>
      <c r="E435" s="4">
        <v>2566.6999999999998</v>
      </c>
      <c r="F435" s="4">
        <v>2566.6999999999998</v>
      </c>
      <c r="H435" s="68">
        <f t="shared" si="6"/>
        <v>1</v>
      </c>
    </row>
    <row r="436" spans="1:8" x14ac:dyDescent="0.2">
      <c r="A436" s="6">
        <v>435</v>
      </c>
      <c r="B436" s="1" t="s">
        <v>9</v>
      </c>
      <c r="C436" s="1" t="s">
        <v>54</v>
      </c>
      <c r="D436" s="4">
        <v>2718.6</v>
      </c>
      <c r="E436" s="4">
        <v>554.20000000000005</v>
      </c>
      <c r="F436" s="4">
        <v>3272.8</v>
      </c>
      <c r="H436" s="68">
        <f t="shared" si="6"/>
        <v>0.16933512588609143</v>
      </c>
    </row>
    <row r="437" spans="1:8" x14ac:dyDescent="0.2">
      <c r="A437" s="6">
        <v>436</v>
      </c>
      <c r="B437" s="1" t="s">
        <v>9</v>
      </c>
      <c r="C437" s="1" t="s">
        <v>55</v>
      </c>
      <c r="D437" s="4">
        <v>1214.5</v>
      </c>
      <c r="E437" s="4">
        <v>92.1</v>
      </c>
      <c r="F437" s="4">
        <v>1306.5999999999999</v>
      </c>
      <c r="H437" s="68">
        <f t="shared" si="6"/>
        <v>7.0488290218888722E-2</v>
      </c>
    </row>
    <row r="438" spans="1:8" x14ac:dyDescent="0.2">
      <c r="A438" s="6">
        <v>437</v>
      </c>
      <c r="B438" s="1" t="s">
        <v>9</v>
      </c>
      <c r="C438" s="1" t="s">
        <v>56</v>
      </c>
      <c r="D438" s="4">
        <v>27813.200000000001</v>
      </c>
      <c r="E438" s="4">
        <v>46550.6</v>
      </c>
      <c r="F438" s="4">
        <v>74363.8</v>
      </c>
      <c r="H438" s="68">
        <f t="shared" si="6"/>
        <v>0.62598468609726776</v>
      </c>
    </row>
    <row r="439" spans="1:8" x14ac:dyDescent="0.2">
      <c r="A439" s="6">
        <v>438</v>
      </c>
      <c r="B439" s="1" t="s">
        <v>9</v>
      </c>
      <c r="C439" s="1" t="s">
        <v>57</v>
      </c>
      <c r="D439" s="4">
        <v>233.6</v>
      </c>
      <c r="E439" s="4">
        <v>14214.3</v>
      </c>
      <c r="F439" s="4">
        <v>14447.9</v>
      </c>
      <c r="H439" s="68">
        <f t="shared" si="6"/>
        <v>0.98383156029595997</v>
      </c>
    </row>
    <row r="440" spans="1:8" x14ac:dyDescent="0.2">
      <c r="A440" s="6">
        <v>439</v>
      </c>
      <c r="B440" s="1" t="s">
        <v>9</v>
      </c>
      <c r="C440" s="1" t="s">
        <v>58</v>
      </c>
      <c r="D440" s="4">
        <v>1051.8</v>
      </c>
      <c r="E440" s="4">
        <v>3225.9</v>
      </c>
      <c r="F440" s="4">
        <v>4277.7</v>
      </c>
      <c r="H440" s="68">
        <f t="shared" si="6"/>
        <v>0.75412020478294417</v>
      </c>
    </row>
    <row r="441" spans="1:8" x14ac:dyDescent="0.2">
      <c r="A441" s="7">
        <v>440</v>
      </c>
      <c r="B441" s="8" t="s">
        <v>9</v>
      </c>
      <c r="C441" s="8" t="s">
        <v>59</v>
      </c>
      <c r="D441" s="9">
        <v>34273.5</v>
      </c>
      <c r="E441" s="9">
        <v>71243.299999999988</v>
      </c>
      <c r="F441" s="9">
        <v>105516.79999999999</v>
      </c>
      <c r="H441" s="68">
        <f t="shared" si="6"/>
        <v>0.67518442560805481</v>
      </c>
    </row>
    <row r="442" spans="1:8" x14ac:dyDescent="0.2">
      <c r="A442" s="6">
        <v>441</v>
      </c>
      <c r="B442" s="1" t="s">
        <v>9</v>
      </c>
      <c r="C442" s="1" t="s">
        <v>33</v>
      </c>
      <c r="D442" s="4">
        <v>0.1373021500594902</v>
      </c>
      <c r="E442" s="4">
        <v>0.40572903408045746</v>
      </c>
      <c r="F442" s="4">
        <v>0.24814969769361001</v>
      </c>
      <c r="H442" s="68">
        <f t="shared" si="6"/>
        <v>1.6350172410099422</v>
      </c>
    </row>
    <row r="443" spans="1:8" x14ac:dyDescent="0.2">
      <c r="A443" s="6">
        <v>442</v>
      </c>
      <c r="B443" s="1" t="s">
        <v>9</v>
      </c>
      <c r="C443" s="1" t="s">
        <v>60</v>
      </c>
      <c r="D443" s="4">
        <v>7550</v>
      </c>
      <c r="E443" s="4">
        <v>1215</v>
      </c>
      <c r="F443" s="4">
        <v>8765</v>
      </c>
      <c r="H443" s="68">
        <f t="shared" si="6"/>
        <v>0.13861950941243584</v>
      </c>
    </row>
    <row r="444" spans="1:8" x14ac:dyDescent="0.2">
      <c r="A444" s="6">
        <v>443</v>
      </c>
      <c r="B444" s="1" t="s">
        <v>9</v>
      </c>
      <c r="C444" s="1" t="s">
        <v>61</v>
      </c>
      <c r="D444" s="4">
        <v>2304.1999999999998</v>
      </c>
      <c r="E444" s="4">
        <v>4780.6000000000004</v>
      </c>
      <c r="F444" s="4">
        <v>7084.8</v>
      </c>
      <c r="H444" s="68">
        <f t="shared" si="6"/>
        <v>0.6747685185185186</v>
      </c>
    </row>
    <row r="445" spans="1:8" x14ac:dyDescent="0.2">
      <c r="A445" s="6">
        <v>444</v>
      </c>
      <c r="B445" s="1" t="s">
        <v>9</v>
      </c>
      <c r="C445" s="1" t="s">
        <v>62</v>
      </c>
      <c r="D445" s="4">
        <v>14997.3</v>
      </c>
      <c r="E445" s="4">
        <v>1807.3999999999999</v>
      </c>
      <c r="F445" s="4">
        <v>16804.7</v>
      </c>
      <c r="H445" s="68">
        <f t="shared" si="6"/>
        <v>0.10755324403291935</v>
      </c>
    </row>
    <row r="446" spans="1:8" x14ac:dyDescent="0.2">
      <c r="A446" s="6">
        <v>445</v>
      </c>
      <c r="B446" s="1" t="s">
        <v>9</v>
      </c>
      <c r="C446" s="1" t="s">
        <v>63</v>
      </c>
      <c r="D446" s="4">
        <v>0</v>
      </c>
      <c r="E446" s="4">
        <v>0</v>
      </c>
      <c r="F446" s="4">
        <v>0</v>
      </c>
      <c r="H446" s="68">
        <f t="shared" si="6"/>
        <v>0</v>
      </c>
    </row>
    <row r="447" spans="1:8" x14ac:dyDescent="0.2">
      <c r="A447" s="6">
        <v>446</v>
      </c>
      <c r="B447" s="1" t="s">
        <v>9</v>
      </c>
      <c r="C447" s="1" t="s">
        <v>64</v>
      </c>
      <c r="D447" s="4">
        <v>8164.2</v>
      </c>
      <c r="E447" s="4">
        <v>526</v>
      </c>
      <c r="F447" s="4">
        <v>8690.2000000000007</v>
      </c>
      <c r="H447" s="68">
        <f t="shared" si="6"/>
        <v>6.0527951025292855E-2</v>
      </c>
    </row>
    <row r="448" spans="1:8" x14ac:dyDescent="0.2">
      <c r="A448" s="7">
        <v>447</v>
      </c>
      <c r="B448" s="8" t="s">
        <v>9</v>
      </c>
      <c r="C448" s="8" t="s">
        <v>65</v>
      </c>
      <c r="D448" s="9">
        <v>33015.699999999997</v>
      </c>
      <c r="E448" s="9">
        <v>8329</v>
      </c>
      <c r="F448" s="9">
        <v>41344.699999999997</v>
      </c>
      <c r="H448" s="68">
        <f t="shared" si="6"/>
        <v>0.20145266503324491</v>
      </c>
    </row>
    <row r="449" spans="1:8" x14ac:dyDescent="0.2">
      <c r="A449" s="6">
        <v>448</v>
      </c>
      <c r="B449" s="1" t="s">
        <v>9</v>
      </c>
      <c r="C449" s="1" t="s">
        <v>33</v>
      </c>
      <c r="D449" s="4">
        <v>0.13226331117974852</v>
      </c>
      <c r="E449" s="4">
        <v>4.7433472689447718E-2</v>
      </c>
      <c r="F449" s="4">
        <v>9.7232618940614177E-2</v>
      </c>
      <c r="H449" s="68">
        <f t="shared" si="6"/>
        <v>0.48783497972442974</v>
      </c>
    </row>
    <row r="450" spans="1:8" x14ac:dyDescent="0.2">
      <c r="A450" s="6">
        <v>449</v>
      </c>
      <c r="B450" s="1" t="s">
        <v>9</v>
      </c>
      <c r="C450" s="1" t="s">
        <v>66</v>
      </c>
      <c r="D450" s="4">
        <v>850.8</v>
      </c>
      <c r="E450" s="4">
        <v>0</v>
      </c>
      <c r="F450" s="4">
        <v>850.8</v>
      </c>
      <c r="H450" s="68">
        <f t="shared" si="6"/>
        <v>0</v>
      </c>
    </row>
    <row r="451" spans="1:8" x14ac:dyDescent="0.2">
      <c r="A451" s="6">
        <v>450</v>
      </c>
      <c r="B451" s="1" t="s">
        <v>9</v>
      </c>
      <c r="C451" s="1" t="s">
        <v>67</v>
      </c>
      <c r="D451" s="4">
        <v>0</v>
      </c>
      <c r="E451" s="4">
        <v>3123.1</v>
      </c>
      <c r="F451" s="4">
        <v>3123.1</v>
      </c>
      <c r="H451" s="68">
        <f t="shared" ref="H451:H514" si="7">IFERROR(E451/F451,0)</f>
        <v>1</v>
      </c>
    </row>
    <row r="452" spans="1:8" x14ac:dyDescent="0.2">
      <c r="A452" s="6">
        <v>451</v>
      </c>
      <c r="B452" s="1" t="s">
        <v>9</v>
      </c>
      <c r="C452" s="1" t="s">
        <v>68</v>
      </c>
      <c r="D452" s="4">
        <v>3440.7</v>
      </c>
      <c r="E452" s="4">
        <v>6640</v>
      </c>
      <c r="F452" s="4">
        <v>10080.700000000001</v>
      </c>
      <c r="H452" s="68">
        <f t="shared" si="7"/>
        <v>0.65868441675677281</v>
      </c>
    </row>
    <row r="453" spans="1:8" x14ac:dyDescent="0.2">
      <c r="A453" s="6">
        <v>452</v>
      </c>
      <c r="B453" s="1" t="s">
        <v>9</v>
      </c>
      <c r="C453" s="1" t="s">
        <v>69</v>
      </c>
      <c r="D453" s="4">
        <v>4504.5</v>
      </c>
      <c r="E453" s="4">
        <v>5422.9</v>
      </c>
      <c r="F453" s="4">
        <v>9927.4</v>
      </c>
      <c r="H453" s="68">
        <f t="shared" si="7"/>
        <v>0.54625581723311234</v>
      </c>
    </row>
    <row r="454" spans="1:8" x14ac:dyDescent="0.2">
      <c r="A454" s="6">
        <v>453</v>
      </c>
      <c r="B454" s="1" t="s">
        <v>9</v>
      </c>
      <c r="C454" s="1" t="s">
        <v>70</v>
      </c>
      <c r="D454" s="4">
        <v>6396.4</v>
      </c>
      <c r="E454" s="4">
        <v>7814.3</v>
      </c>
      <c r="F454" s="4">
        <v>14210.7</v>
      </c>
      <c r="H454" s="68">
        <f t="shared" si="7"/>
        <v>0.54988846432617677</v>
      </c>
    </row>
    <row r="455" spans="1:8" x14ac:dyDescent="0.2">
      <c r="A455" s="6">
        <v>454</v>
      </c>
      <c r="B455" s="1" t="s">
        <v>9</v>
      </c>
      <c r="C455" s="1" t="s">
        <v>71</v>
      </c>
      <c r="D455" s="4">
        <v>1737.5</v>
      </c>
      <c r="E455" s="4">
        <v>0</v>
      </c>
      <c r="F455" s="4">
        <v>1737.5</v>
      </c>
      <c r="H455" s="68">
        <f t="shared" si="7"/>
        <v>0</v>
      </c>
    </row>
    <row r="456" spans="1:8" x14ac:dyDescent="0.2">
      <c r="A456" s="6">
        <v>455</v>
      </c>
      <c r="B456" s="1" t="s">
        <v>9</v>
      </c>
      <c r="C456" s="1" t="s">
        <v>72</v>
      </c>
      <c r="D456" s="4">
        <v>2052.1</v>
      </c>
      <c r="E456" s="4">
        <v>2261.4</v>
      </c>
      <c r="F456" s="4">
        <v>4313.5</v>
      </c>
      <c r="H456" s="68">
        <f t="shared" si="7"/>
        <v>0.52426104091804804</v>
      </c>
    </row>
    <row r="457" spans="1:8" x14ac:dyDescent="0.2">
      <c r="A457" s="6">
        <v>456</v>
      </c>
      <c r="B457" s="1" t="s">
        <v>9</v>
      </c>
      <c r="C457" s="1" t="s">
        <v>73</v>
      </c>
      <c r="D457" s="4">
        <v>3320.4</v>
      </c>
      <c r="E457" s="4">
        <v>2621</v>
      </c>
      <c r="F457" s="4">
        <v>5941.4</v>
      </c>
      <c r="H457" s="68">
        <f t="shared" si="7"/>
        <v>0.44114181842663347</v>
      </c>
    </row>
    <row r="458" spans="1:8" x14ac:dyDescent="0.2">
      <c r="A458" s="6">
        <v>457</v>
      </c>
      <c r="B458" s="1" t="s">
        <v>9</v>
      </c>
      <c r="C458" s="1" t="s">
        <v>74</v>
      </c>
      <c r="D458" s="4">
        <v>417.9</v>
      </c>
      <c r="E458" s="4">
        <v>426.5</v>
      </c>
      <c r="F458" s="4">
        <v>844.4</v>
      </c>
      <c r="H458" s="68">
        <f t="shared" si="7"/>
        <v>0.50509237328280432</v>
      </c>
    </row>
    <row r="459" spans="1:8" x14ac:dyDescent="0.2">
      <c r="A459" s="6">
        <v>458</v>
      </c>
      <c r="B459" s="1" t="s">
        <v>9</v>
      </c>
      <c r="C459" s="1" t="s">
        <v>75</v>
      </c>
      <c r="D459" s="4">
        <v>268.89999999999998</v>
      </c>
      <c r="E459" s="4">
        <v>-592.4</v>
      </c>
      <c r="F459" s="4">
        <v>-323.5</v>
      </c>
      <c r="H459" s="68">
        <f t="shared" si="7"/>
        <v>1.8312210200927357</v>
      </c>
    </row>
    <row r="460" spans="1:8" x14ac:dyDescent="0.2">
      <c r="A460" s="6">
        <v>459</v>
      </c>
      <c r="B460" s="1" t="s">
        <v>9</v>
      </c>
      <c r="C460" s="1" t="s">
        <v>76</v>
      </c>
      <c r="D460" s="4">
        <v>2350.4</v>
      </c>
      <c r="E460" s="4">
        <v>0</v>
      </c>
      <c r="F460" s="4">
        <v>2350.4</v>
      </c>
      <c r="H460" s="68">
        <f t="shared" si="7"/>
        <v>0</v>
      </c>
    </row>
    <row r="461" spans="1:8" x14ac:dyDescent="0.2">
      <c r="A461" s="6">
        <v>460</v>
      </c>
      <c r="B461" s="1" t="s">
        <v>9</v>
      </c>
      <c r="C461" s="1" t="s">
        <v>77</v>
      </c>
      <c r="D461" s="4">
        <v>182.9</v>
      </c>
      <c r="E461" s="4">
        <v>469.8</v>
      </c>
      <c r="F461" s="4">
        <v>652.70000000000005</v>
      </c>
      <c r="H461" s="68">
        <f t="shared" si="7"/>
        <v>0.71977937796843872</v>
      </c>
    </row>
    <row r="462" spans="1:8" x14ac:dyDescent="0.2">
      <c r="A462" s="6">
        <v>461</v>
      </c>
      <c r="B462" s="1" t="s">
        <v>9</v>
      </c>
      <c r="C462" s="1" t="s">
        <v>78</v>
      </c>
      <c r="D462" s="4">
        <v>0</v>
      </c>
      <c r="E462" s="4">
        <v>40</v>
      </c>
      <c r="F462" s="4">
        <v>40</v>
      </c>
      <c r="H462" s="68">
        <f t="shared" si="7"/>
        <v>1</v>
      </c>
    </row>
    <row r="463" spans="1:8" x14ac:dyDescent="0.2">
      <c r="A463" s="7">
        <v>462</v>
      </c>
      <c r="B463" s="8" t="s">
        <v>9</v>
      </c>
      <c r="C463" s="8" t="s">
        <v>79</v>
      </c>
      <c r="D463" s="9">
        <v>25522.500000000007</v>
      </c>
      <c r="E463" s="9">
        <v>28226.6</v>
      </c>
      <c r="F463" s="9">
        <v>53749.100000000006</v>
      </c>
      <c r="H463" s="68">
        <f t="shared" si="7"/>
        <v>0.52515483980196864</v>
      </c>
    </row>
    <row r="464" spans="1:8" x14ac:dyDescent="0.2">
      <c r="A464" s="6">
        <v>463</v>
      </c>
      <c r="B464" s="1" t="s">
        <v>9</v>
      </c>
      <c r="C464" s="1" t="s">
        <v>33</v>
      </c>
      <c r="D464" s="4">
        <v>0.10224500342519263</v>
      </c>
      <c r="E464" s="4">
        <v>0.16074986915787789</v>
      </c>
      <c r="F464" s="4">
        <v>0.12640473286058349</v>
      </c>
      <c r="H464" s="68">
        <f t="shared" si="7"/>
        <v>1.2717076767621902</v>
      </c>
    </row>
    <row r="465" spans="1:8" x14ac:dyDescent="0.2">
      <c r="A465" s="6">
        <v>464</v>
      </c>
      <c r="B465" s="1" t="s">
        <v>9</v>
      </c>
      <c r="C465" s="1" t="s">
        <v>80</v>
      </c>
      <c r="D465" s="4">
        <v>0</v>
      </c>
      <c r="E465" s="4">
        <v>5567.3000000000011</v>
      </c>
      <c r="F465" s="4">
        <v>5567.3000000000011</v>
      </c>
      <c r="H465" s="68">
        <f t="shared" si="7"/>
        <v>1</v>
      </c>
    </row>
    <row r="466" spans="1:8" x14ac:dyDescent="0.2">
      <c r="A466" s="6">
        <v>465</v>
      </c>
      <c r="B466" s="1" t="s">
        <v>9</v>
      </c>
      <c r="C466" s="1" t="s">
        <v>81</v>
      </c>
      <c r="D466" s="4">
        <v>0</v>
      </c>
      <c r="E466" s="4">
        <v>8007.1</v>
      </c>
      <c r="F466" s="4">
        <v>8007.1</v>
      </c>
      <c r="H466" s="68">
        <f t="shared" si="7"/>
        <v>1</v>
      </c>
    </row>
    <row r="467" spans="1:8" x14ac:dyDescent="0.2">
      <c r="A467" s="6">
        <v>466</v>
      </c>
      <c r="B467" s="1" t="s">
        <v>9</v>
      </c>
      <c r="C467" s="1" t="s">
        <v>82</v>
      </c>
      <c r="D467" s="4">
        <v>0</v>
      </c>
      <c r="E467" s="4">
        <v>1914.5</v>
      </c>
      <c r="F467" s="4">
        <v>1914.5</v>
      </c>
      <c r="H467" s="68">
        <f t="shared" si="7"/>
        <v>1</v>
      </c>
    </row>
    <row r="468" spans="1:8" x14ac:dyDescent="0.2">
      <c r="A468" s="6">
        <v>467</v>
      </c>
      <c r="B468" s="1" t="s">
        <v>9</v>
      </c>
      <c r="C468" s="1" t="s">
        <v>83</v>
      </c>
      <c r="D468" s="4">
        <v>0</v>
      </c>
      <c r="E468" s="4">
        <v>2683.3</v>
      </c>
      <c r="F468" s="4">
        <v>2683.3</v>
      </c>
      <c r="H468" s="68">
        <f t="shared" si="7"/>
        <v>1</v>
      </c>
    </row>
    <row r="469" spans="1:8" x14ac:dyDescent="0.2">
      <c r="A469" s="6">
        <v>468</v>
      </c>
      <c r="B469" s="1" t="s">
        <v>9</v>
      </c>
      <c r="C469" s="1" t="s">
        <v>84</v>
      </c>
      <c r="D469" s="4">
        <v>0</v>
      </c>
      <c r="E469" s="4">
        <v>2216.6</v>
      </c>
      <c r="F469" s="4">
        <v>2216.6</v>
      </c>
      <c r="H469" s="68">
        <f t="shared" si="7"/>
        <v>1</v>
      </c>
    </row>
    <row r="470" spans="1:8" x14ac:dyDescent="0.2">
      <c r="A470" s="6">
        <v>469</v>
      </c>
      <c r="B470" s="1" t="s">
        <v>9</v>
      </c>
      <c r="C470" s="1" t="s">
        <v>85</v>
      </c>
      <c r="D470" s="4">
        <v>0</v>
      </c>
      <c r="E470" s="4">
        <v>279.7</v>
      </c>
      <c r="F470" s="4">
        <v>279.7</v>
      </c>
      <c r="H470" s="68">
        <f t="shared" si="7"/>
        <v>1</v>
      </c>
    </row>
    <row r="471" spans="1:8" x14ac:dyDescent="0.2">
      <c r="A471" s="7">
        <v>470</v>
      </c>
      <c r="B471" s="8" t="s">
        <v>9</v>
      </c>
      <c r="C471" s="8" t="s">
        <v>86</v>
      </c>
      <c r="D471" s="9">
        <v>0</v>
      </c>
      <c r="E471" s="9">
        <v>20668.5</v>
      </c>
      <c r="F471" s="9">
        <v>20668.5</v>
      </c>
      <c r="H471" s="68">
        <f t="shared" si="7"/>
        <v>1</v>
      </c>
    </row>
    <row r="472" spans="1:8" x14ac:dyDescent="0.2">
      <c r="A472" s="6">
        <v>471</v>
      </c>
      <c r="B472" s="1" t="s">
        <v>9</v>
      </c>
      <c r="C472" s="1" t="s">
        <v>33</v>
      </c>
      <c r="D472" s="4">
        <v>0</v>
      </c>
      <c r="E472" s="4">
        <v>0.11770665509447115</v>
      </c>
      <c r="F472" s="4">
        <v>4.8607255212254154E-2</v>
      </c>
      <c r="H472" s="68">
        <f t="shared" si="7"/>
        <v>2.4215861311337048</v>
      </c>
    </row>
    <row r="473" spans="1:8" x14ac:dyDescent="0.2">
      <c r="A473" s="6">
        <v>472</v>
      </c>
      <c r="B473" s="1" t="s">
        <v>9</v>
      </c>
      <c r="C473" s="1" t="s">
        <v>87</v>
      </c>
      <c r="D473" s="4">
        <v>374.8</v>
      </c>
      <c r="E473" s="4">
        <v>340.5</v>
      </c>
      <c r="F473" s="4">
        <v>715.3</v>
      </c>
      <c r="H473" s="68">
        <f t="shared" si="7"/>
        <v>0.47602404585488611</v>
      </c>
    </row>
    <row r="474" spans="1:8" x14ac:dyDescent="0.2">
      <c r="A474" s="6">
        <v>473</v>
      </c>
      <c r="B474" s="1" t="s">
        <v>9</v>
      </c>
      <c r="C474" s="1" t="s">
        <v>88</v>
      </c>
      <c r="D474" s="4">
        <v>0</v>
      </c>
      <c r="E474" s="4">
        <v>0</v>
      </c>
      <c r="F474" s="4">
        <v>0</v>
      </c>
      <c r="H474" s="68">
        <f t="shared" si="7"/>
        <v>0</v>
      </c>
    </row>
    <row r="475" spans="1:8" x14ac:dyDescent="0.2">
      <c r="A475" s="7">
        <v>474</v>
      </c>
      <c r="B475" s="8" t="s">
        <v>9</v>
      </c>
      <c r="C475" s="8" t="s">
        <v>89</v>
      </c>
      <c r="D475" s="9">
        <v>374.8</v>
      </c>
      <c r="E475" s="9">
        <v>340.5</v>
      </c>
      <c r="F475" s="9">
        <v>715.3</v>
      </c>
      <c r="H475" s="68">
        <f t="shared" si="7"/>
        <v>0.47602404585488611</v>
      </c>
    </row>
    <row r="476" spans="1:8" x14ac:dyDescent="0.2">
      <c r="A476" s="6">
        <v>475</v>
      </c>
      <c r="B476" s="1" t="s">
        <v>9</v>
      </c>
      <c r="C476" s="1" t="s">
        <v>33</v>
      </c>
      <c r="D476" s="4">
        <v>1.5014762379767729E-3</v>
      </c>
      <c r="E476" s="4">
        <v>1.9391400469152297E-3</v>
      </c>
      <c r="F476" s="4">
        <v>1.6822105935759921E-3</v>
      </c>
      <c r="H476" s="68">
        <f t="shared" si="7"/>
        <v>1.1527332275283471</v>
      </c>
    </row>
    <row r="477" spans="1:8" x14ac:dyDescent="0.2">
      <c r="A477" s="6">
        <v>476</v>
      </c>
      <c r="B477" s="1" t="s">
        <v>9</v>
      </c>
      <c r="C477" s="1" t="s">
        <v>90</v>
      </c>
      <c r="D477" s="4">
        <v>3541.3</v>
      </c>
      <c r="E477" s="4">
        <v>0</v>
      </c>
      <c r="F477" s="4">
        <v>3541.3</v>
      </c>
      <c r="H477" s="68">
        <f t="shared" si="7"/>
        <v>0</v>
      </c>
    </row>
    <row r="478" spans="1:8" x14ac:dyDescent="0.2">
      <c r="A478" s="6">
        <v>477</v>
      </c>
      <c r="B478" s="1" t="s">
        <v>9</v>
      </c>
      <c r="C478" s="1" t="s">
        <v>33</v>
      </c>
      <c r="D478" s="4">
        <v>1.4186707047884595E-2</v>
      </c>
      <c r="E478" s="4">
        <v>0</v>
      </c>
      <c r="F478" s="4">
        <v>8.3282711799673725E-3</v>
      </c>
      <c r="H478" s="68">
        <f t="shared" si="7"/>
        <v>0</v>
      </c>
    </row>
    <row r="479" spans="1:8" x14ac:dyDescent="0.2">
      <c r="A479" s="6">
        <v>478</v>
      </c>
      <c r="B479" s="1" t="s">
        <v>9</v>
      </c>
      <c r="C479" s="1" t="s">
        <v>91</v>
      </c>
      <c r="D479" s="4">
        <v>2263.4</v>
      </c>
      <c r="E479" s="4">
        <v>674.3</v>
      </c>
      <c r="F479" s="4">
        <v>2937.7</v>
      </c>
      <c r="H479" s="68">
        <f t="shared" si="7"/>
        <v>0.22953330837049393</v>
      </c>
    </row>
    <row r="480" spans="1:8" x14ac:dyDescent="0.2">
      <c r="A480" s="6">
        <v>479</v>
      </c>
      <c r="B480" s="1" t="s">
        <v>9</v>
      </c>
      <c r="C480" s="1" t="s">
        <v>33</v>
      </c>
      <c r="D480" s="4">
        <v>9.0673460966825721E-3</v>
      </c>
      <c r="E480" s="4">
        <v>3.8401237404844034E-3</v>
      </c>
      <c r="F480" s="4">
        <v>6.908751657693544E-3</v>
      </c>
      <c r="H480" s="68">
        <f t="shared" si="7"/>
        <v>0.55583467618322402</v>
      </c>
    </row>
    <row r="481" spans="1:8" x14ac:dyDescent="0.2">
      <c r="A481" s="10">
        <v>480</v>
      </c>
      <c r="B481" s="11" t="s">
        <v>9</v>
      </c>
      <c r="C481" s="11" t="s">
        <v>2</v>
      </c>
      <c r="D481" s="12">
        <v>249620.99999999997</v>
      </c>
      <c r="E481" s="12">
        <v>175593.3</v>
      </c>
      <c r="F481" s="12">
        <v>425214.3</v>
      </c>
      <c r="H481" s="68">
        <f t="shared" si="7"/>
        <v>0.41295248066680729</v>
      </c>
    </row>
    <row r="482" spans="1:8" x14ac:dyDescent="0.2">
      <c r="A482" s="6">
        <v>481</v>
      </c>
      <c r="B482" s="1" t="s">
        <v>10</v>
      </c>
      <c r="C482" s="1" t="s">
        <v>23</v>
      </c>
      <c r="D482" s="4">
        <v>45450.2</v>
      </c>
      <c r="E482" s="4">
        <v>1316.9</v>
      </c>
      <c r="F482" s="4">
        <v>46767.1</v>
      </c>
      <c r="H482" s="68">
        <f t="shared" si="7"/>
        <v>2.8158684203211236E-2</v>
      </c>
    </row>
    <row r="483" spans="1:8" x14ac:dyDescent="0.2">
      <c r="A483" s="6">
        <v>482</v>
      </c>
      <c r="B483" s="1" t="s">
        <v>10</v>
      </c>
      <c r="C483" s="1" t="s">
        <v>24</v>
      </c>
      <c r="D483" s="4">
        <v>1192.3</v>
      </c>
      <c r="E483" s="4">
        <v>4467.5</v>
      </c>
      <c r="F483" s="4">
        <v>5659.8</v>
      </c>
      <c r="H483" s="68">
        <f t="shared" si="7"/>
        <v>0.78933884589561465</v>
      </c>
    </row>
    <row r="484" spans="1:8" x14ac:dyDescent="0.2">
      <c r="A484" s="6">
        <v>483</v>
      </c>
      <c r="B484" s="1" t="s">
        <v>10</v>
      </c>
      <c r="C484" s="1" t="s">
        <v>25</v>
      </c>
      <c r="D484" s="4">
        <v>0</v>
      </c>
      <c r="E484" s="4">
        <v>0</v>
      </c>
      <c r="F484" s="4">
        <v>0</v>
      </c>
      <c r="H484" s="68">
        <f t="shared" si="7"/>
        <v>0</v>
      </c>
    </row>
    <row r="485" spans="1:8" x14ac:dyDescent="0.2">
      <c r="A485" s="6">
        <v>484</v>
      </c>
      <c r="B485" s="1" t="s">
        <v>10</v>
      </c>
      <c r="C485" s="1" t="s">
        <v>26</v>
      </c>
      <c r="D485" s="4">
        <v>10331.200000000001</v>
      </c>
      <c r="E485" s="4">
        <v>1526.2</v>
      </c>
      <c r="F485" s="4">
        <v>11857.400000000001</v>
      </c>
      <c r="H485" s="68">
        <f t="shared" si="7"/>
        <v>0.12871287128712869</v>
      </c>
    </row>
    <row r="486" spans="1:8" x14ac:dyDescent="0.2">
      <c r="A486" s="6">
        <v>485</v>
      </c>
      <c r="B486" s="1" t="s">
        <v>10</v>
      </c>
      <c r="C486" s="1" t="s">
        <v>27</v>
      </c>
      <c r="D486" s="4">
        <v>4173.7</v>
      </c>
      <c r="E486" s="4">
        <v>1006.9</v>
      </c>
      <c r="F486" s="4">
        <v>5180.5999999999995</v>
      </c>
      <c r="H486" s="68">
        <f t="shared" si="7"/>
        <v>0.19435972667258619</v>
      </c>
    </row>
    <row r="487" spans="1:8" x14ac:dyDescent="0.2">
      <c r="A487" s="6">
        <v>486</v>
      </c>
      <c r="B487" s="1" t="s">
        <v>10</v>
      </c>
      <c r="C487" s="1" t="s">
        <v>28</v>
      </c>
      <c r="D487" s="4">
        <v>120.9</v>
      </c>
      <c r="E487" s="4">
        <v>0</v>
      </c>
      <c r="F487" s="4">
        <v>120.9</v>
      </c>
      <c r="H487" s="68">
        <f t="shared" si="7"/>
        <v>0</v>
      </c>
    </row>
    <row r="488" spans="1:8" x14ac:dyDescent="0.2">
      <c r="A488" s="6">
        <v>487</v>
      </c>
      <c r="B488" s="1" t="s">
        <v>10</v>
      </c>
      <c r="C488" s="1" t="s">
        <v>29</v>
      </c>
      <c r="D488" s="4">
        <v>1308</v>
      </c>
      <c r="E488" s="4">
        <v>268.89999999999998</v>
      </c>
      <c r="F488" s="4">
        <v>1576.9</v>
      </c>
      <c r="H488" s="68">
        <f t="shared" si="7"/>
        <v>0.17052444669921996</v>
      </c>
    </row>
    <row r="489" spans="1:8" x14ac:dyDescent="0.2">
      <c r="A489" s="6">
        <v>488</v>
      </c>
      <c r="B489" s="1" t="s">
        <v>10</v>
      </c>
      <c r="C489" s="1" t="s">
        <v>30</v>
      </c>
      <c r="D489" s="4">
        <v>9011.1</v>
      </c>
      <c r="E489" s="4">
        <v>167.5</v>
      </c>
      <c r="F489" s="4">
        <v>9178.6</v>
      </c>
      <c r="H489" s="68">
        <f t="shared" si="7"/>
        <v>1.8248970431220448E-2</v>
      </c>
    </row>
    <row r="490" spans="1:8" x14ac:dyDescent="0.2">
      <c r="A490" s="6">
        <v>489</v>
      </c>
      <c r="B490" s="1" t="s">
        <v>10</v>
      </c>
      <c r="C490" s="1" t="s">
        <v>31</v>
      </c>
      <c r="D490" s="4">
        <v>15402</v>
      </c>
      <c r="E490" s="4">
        <v>1595.3</v>
      </c>
      <c r="F490" s="4">
        <v>16997.3</v>
      </c>
      <c r="H490" s="68">
        <f t="shared" si="7"/>
        <v>9.385608302495102E-2</v>
      </c>
    </row>
    <row r="491" spans="1:8" x14ac:dyDescent="0.2">
      <c r="A491" s="7">
        <v>490</v>
      </c>
      <c r="B491" s="8" t="s">
        <v>10</v>
      </c>
      <c r="C491" s="8" t="s">
        <v>32</v>
      </c>
      <c r="D491" s="9">
        <v>86989.4</v>
      </c>
      <c r="E491" s="9">
        <v>10349.199999999999</v>
      </c>
      <c r="F491" s="9">
        <v>97338.599999999991</v>
      </c>
      <c r="H491" s="68">
        <f t="shared" si="7"/>
        <v>0.10632164423979798</v>
      </c>
    </row>
    <row r="492" spans="1:8" x14ac:dyDescent="0.2">
      <c r="A492" s="6">
        <v>491</v>
      </c>
      <c r="B492" s="1" t="s">
        <v>10</v>
      </c>
      <c r="C492" s="1" t="s">
        <v>33</v>
      </c>
      <c r="D492" s="4">
        <v>0.50376421425212581</v>
      </c>
      <c r="E492" s="4">
        <v>5.8290081753230839E-2</v>
      </c>
      <c r="F492" s="4">
        <v>0.277931377316259</v>
      </c>
      <c r="H492" s="68">
        <f t="shared" si="7"/>
        <v>0.20972832328644336</v>
      </c>
    </row>
    <row r="493" spans="1:8" x14ac:dyDescent="0.2">
      <c r="A493" s="6">
        <v>492</v>
      </c>
      <c r="B493" s="1" t="s">
        <v>10</v>
      </c>
      <c r="C493" s="1" t="s">
        <v>34</v>
      </c>
      <c r="D493" s="4">
        <v>1860.1</v>
      </c>
      <c r="E493" s="4">
        <v>5717.8</v>
      </c>
      <c r="F493" s="4">
        <v>7577.9</v>
      </c>
      <c r="H493" s="68">
        <f t="shared" si="7"/>
        <v>0.75453621715778785</v>
      </c>
    </row>
    <row r="494" spans="1:8" x14ac:dyDescent="0.2">
      <c r="A494" s="6">
        <v>493</v>
      </c>
      <c r="B494" s="1" t="s">
        <v>10</v>
      </c>
      <c r="C494" s="1" t="s">
        <v>35</v>
      </c>
      <c r="D494" s="4">
        <v>2476.5</v>
      </c>
      <c r="E494" s="4">
        <v>7229.1</v>
      </c>
      <c r="F494" s="4">
        <v>9705.6</v>
      </c>
      <c r="H494" s="68">
        <f t="shared" si="7"/>
        <v>0.74483803165182993</v>
      </c>
    </row>
    <row r="495" spans="1:8" x14ac:dyDescent="0.2">
      <c r="A495" s="6">
        <v>494</v>
      </c>
      <c r="B495" s="1" t="s">
        <v>10</v>
      </c>
      <c r="C495" s="1" t="s">
        <v>36</v>
      </c>
      <c r="D495" s="4">
        <v>0</v>
      </c>
      <c r="E495" s="4">
        <v>0</v>
      </c>
      <c r="F495" s="4">
        <v>0</v>
      </c>
      <c r="H495" s="68">
        <f t="shared" si="7"/>
        <v>0</v>
      </c>
    </row>
    <row r="496" spans="1:8" x14ac:dyDescent="0.2">
      <c r="A496" s="6">
        <v>495</v>
      </c>
      <c r="B496" s="1" t="s">
        <v>10</v>
      </c>
      <c r="C496" s="1" t="s">
        <v>37</v>
      </c>
      <c r="D496" s="4">
        <v>2127.1999999999998</v>
      </c>
      <c r="E496" s="4">
        <v>803.3</v>
      </c>
      <c r="F496" s="4">
        <v>2930.5</v>
      </c>
      <c r="H496" s="68">
        <f t="shared" si="7"/>
        <v>0.27411704487288857</v>
      </c>
    </row>
    <row r="497" spans="1:8" x14ac:dyDescent="0.2">
      <c r="A497" s="7">
        <v>496</v>
      </c>
      <c r="B497" s="8" t="s">
        <v>10</v>
      </c>
      <c r="C497" s="8" t="s">
        <v>38</v>
      </c>
      <c r="D497" s="9">
        <v>6463.8</v>
      </c>
      <c r="E497" s="9">
        <v>13750.2</v>
      </c>
      <c r="F497" s="9">
        <v>20214</v>
      </c>
      <c r="H497" s="68">
        <f t="shared" si="7"/>
        <v>0.6802315227070348</v>
      </c>
    </row>
    <row r="498" spans="1:8" x14ac:dyDescent="0.2">
      <c r="A498" s="6">
        <v>497</v>
      </c>
      <c r="B498" s="1" t="s">
        <v>10</v>
      </c>
      <c r="C498" s="1" t="s">
        <v>33</v>
      </c>
      <c r="D498" s="4">
        <v>3.7432504742909954E-2</v>
      </c>
      <c r="E498" s="4">
        <v>7.7445626920271599E-2</v>
      </c>
      <c r="F498" s="4">
        <v>5.7717132371647627E-2</v>
      </c>
      <c r="H498" s="68">
        <f t="shared" si="7"/>
        <v>1.3418134917304934</v>
      </c>
    </row>
    <row r="499" spans="1:8" x14ac:dyDescent="0.2">
      <c r="A499" s="6">
        <v>498</v>
      </c>
      <c r="B499" s="1" t="s">
        <v>10</v>
      </c>
      <c r="C499" s="1" t="s">
        <v>39</v>
      </c>
      <c r="D499" s="4">
        <v>0</v>
      </c>
      <c r="E499" s="4">
        <v>0</v>
      </c>
      <c r="F499" s="4">
        <v>0</v>
      </c>
      <c r="H499" s="68">
        <f t="shared" si="7"/>
        <v>0</v>
      </c>
    </row>
    <row r="500" spans="1:8" x14ac:dyDescent="0.2">
      <c r="A500" s="6">
        <v>499</v>
      </c>
      <c r="B500" s="1" t="s">
        <v>10</v>
      </c>
      <c r="C500" s="1" t="s">
        <v>40</v>
      </c>
      <c r="D500" s="4">
        <v>0</v>
      </c>
      <c r="E500" s="4">
        <v>1346.9</v>
      </c>
      <c r="F500" s="4">
        <v>1346.9</v>
      </c>
      <c r="H500" s="68">
        <f t="shared" si="7"/>
        <v>1</v>
      </c>
    </row>
    <row r="501" spans="1:8" x14ac:dyDescent="0.2">
      <c r="A501" s="6">
        <v>500</v>
      </c>
      <c r="B501" s="1" t="s">
        <v>10</v>
      </c>
      <c r="C501" s="1" t="s">
        <v>41</v>
      </c>
      <c r="D501" s="4">
        <v>743.8</v>
      </c>
      <c r="E501" s="4">
        <v>3565.1</v>
      </c>
      <c r="F501" s="4">
        <v>4308.8999999999996</v>
      </c>
      <c r="H501" s="68">
        <f t="shared" si="7"/>
        <v>0.82738053795632305</v>
      </c>
    </row>
    <row r="502" spans="1:8" x14ac:dyDescent="0.2">
      <c r="A502" s="6">
        <v>501</v>
      </c>
      <c r="B502" s="1" t="s">
        <v>10</v>
      </c>
      <c r="C502" s="1" t="s">
        <v>42</v>
      </c>
      <c r="D502" s="4">
        <v>3639</v>
      </c>
      <c r="E502" s="4">
        <v>20489.7</v>
      </c>
      <c r="F502" s="4">
        <v>24128.7</v>
      </c>
      <c r="H502" s="68">
        <f t="shared" si="7"/>
        <v>0.84918375212920716</v>
      </c>
    </row>
    <row r="503" spans="1:8" x14ac:dyDescent="0.2">
      <c r="A503" s="6">
        <v>502</v>
      </c>
      <c r="B503" s="1" t="s">
        <v>10</v>
      </c>
      <c r="C503" s="1" t="s">
        <v>43</v>
      </c>
      <c r="D503" s="4">
        <v>0</v>
      </c>
      <c r="E503" s="4">
        <v>0</v>
      </c>
      <c r="F503" s="4">
        <v>0</v>
      </c>
      <c r="H503" s="68">
        <f t="shared" si="7"/>
        <v>0</v>
      </c>
    </row>
    <row r="504" spans="1:8" x14ac:dyDescent="0.2">
      <c r="A504" s="6">
        <v>503</v>
      </c>
      <c r="B504" s="1" t="s">
        <v>10</v>
      </c>
      <c r="C504" s="1" t="s">
        <v>44</v>
      </c>
      <c r="D504" s="4">
        <v>0</v>
      </c>
      <c r="E504" s="4">
        <v>208.5</v>
      </c>
      <c r="F504" s="4">
        <v>208.5</v>
      </c>
      <c r="H504" s="68">
        <f t="shared" si="7"/>
        <v>1</v>
      </c>
    </row>
    <row r="505" spans="1:8" x14ac:dyDescent="0.2">
      <c r="A505" s="7">
        <v>504</v>
      </c>
      <c r="B505" s="8" t="s">
        <v>10</v>
      </c>
      <c r="C505" s="8" t="s">
        <v>45</v>
      </c>
      <c r="D505" s="9">
        <v>4382.8</v>
      </c>
      <c r="E505" s="9">
        <v>25610.2</v>
      </c>
      <c r="F505" s="9">
        <v>29993</v>
      </c>
      <c r="H505" s="68">
        <f t="shared" si="7"/>
        <v>0.85387257026639551</v>
      </c>
    </row>
    <row r="506" spans="1:8" x14ac:dyDescent="0.2">
      <c r="A506" s="6">
        <v>505</v>
      </c>
      <c r="B506" s="1" t="s">
        <v>10</v>
      </c>
      <c r="C506" s="1" t="s">
        <v>33</v>
      </c>
      <c r="D506" s="4">
        <v>2.5381228037257612E-2</v>
      </c>
      <c r="E506" s="4">
        <v>0.1442450287671117</v>
      </c>
      <c r="F506" s="4">
        <v>8.5639158564501203E-2</v>
      </c>
      <c r="H506" s="68">
        <f t="shared" si="7"/>
        <v>1.6843349606064855</v>
      </c>
    </row>
    <row r="507" spans="1:8" x14ac:dyDescent="0.2">
      <c r="A507" s="6">
        <v>506</v>
      </c>
      <c r="B507" s="1" t="s">
        <v>10</v>
      </c>
      <c r="C507" s="1" t="s">
        <v>46</v>
      </c>
      <c r="D507" s="4">
        <v>5797.5</v>
      </c>
      <c r="E507" s="4">
        <v>148.9</v>
      </c>
      <c r="F507" s="4">
        <v>5946.4</v>
      </c>
      <c r="H507" s="68">
        <f t="shared" si="7"/>
        <v>2.5040360554284949E-2</v>
      </c>
    </row>
    <row r="508" spans="1:8" x14ac:dyDescent="0.2">
      <c r="A508" s="6">
        <v>507</v>
      </c>
      <c r="B508" s="1" t="s">
        <v>10</v>
      </c>
      <c r="C508" s="1" t="s">
        <v>47</v>
      </c>
      <c r="D508" s="4">
        <v>6748.4</v>
      </c>
      <c r="E508" s="4">
        <v>270.8</v>
      </c>
      <c r="F508" s="4">
        <v>7019.2</v>
      </c>
      <c r="H508" s="68">
        <f t="shared" si="7"/>
        <v>3.8579895144745843E-2</v>
      </c>
    </row>
    <row r="509" spans="1:8" x14ac:dyDescent="0.2">
      <c r="A509" s="6">
        <v>508</v>
      </c>
      <c r="B509" s="1" t="s">
        <v>10</v>
      </c>
      <c r="C509" s="1" t="s">
        <v>48</v>
      </c>
      <c r="D509" s="4">
        <v>114.8</v>
      </c>
      <c r="E509" s="4">
        <v>10.6</v>
      </c>
      <c r="F509" s="4">
        <v>125.39999999999999</v>
      </c>
      <c r="H509" s="68">
        <f t="shared" si="7"/>
        <v>8.4529505582137163E-2</v>
      </c>
    </row>
    <row r="510" spans="1:8" x14ac:dyDescent="0.2">
      <c r="A510" s="6">
        <v>509</v>
      </c>
      <c r="B510" s="1" t="s">
        <v>10</v>
      </c>
      <c r="C510" s="1" t="s">
        <v>49</v>
      </c>
      <c r="D510" s="4">
        <v>0</v>
      </c>
      <c r="E510" s="4">
        <v>0.6</v>
      </c>
      <c r="F510" s="4">
        <v>0.6</v>
      </c>
      <c r="H510" s="68">
        <f t="shared" si="7"/>
        <v>1</v>
      </c>
    </row>
    <row r="511" spans="1:8" x14ac:dyDescent="0.2">
      <c r="A511" s="6">
        <v>510</v>
      </c>
      <c r="B511" s="1" t="s">
        <v>10</v>
      </c>
      <c r="C511" s="1" t="s">
        <v>50</v>
      </c>
      <c r="D511" s="4">
        <v>1013</v>
      </c>
      <c r="E511" s="4">
        <v>3678.6</v>
      </c>
      <c r="F511" s="4">
        <v>4691.6000000000004</v>
      </c>
      <c r="H511" s="68">
        <f t="shared" si="7"/>
        <v>0.78408218944496544</v>
      </c>
    </row>
    <row r="512" spans="1:8" x14ac:dyDescent="0.2">
      <c r="A512" s="7">
        <v>511</v>
      </c>
      <c r="B512" s="8" t="s">
        <v>10</v>
      </c>
      <c r="C512" s="8" t="s">
        <v>51</v>
      </c>
      <c r="D512" s="9">
        <v>13673.699999999999</v>
      </c>
      <c r="E512" s="9">
        <v>4109.5</v>
      </c>
      <c r="F512" s="9">
        <v>17783.199999999997</v>
      </c>
      <c r="H512" s="68">
        <f t="shared" si="7"/>
        <v>0.23108889288766929</v>
      </c>
    </row>
    <row r="513" spans="1:8" x14ac:dyDescent="0.2">
      <c r="A513" s="6">
        <v>512</v>
      </c>
      <c r="B513" s="1" t="s">
        <v>10</v>
      </c>
      <c r="C513" s="1" t="s">
        <v>33</v>
      </c>
      <c r="D513" s="4">
        <v>7.9185748337375503E-2</v>
      </c>
      <c r="E513" s="4">
        <v>2.314604906320316E-2</v>
      </c>
      <c r="F513" s="4">
        <v>5.0776457326184021E-2</v>
      </c>
      <c r="H513" s="68">
        <f t="shared" si="7"/>
        <v>0.45584214185158167</v>
      </c>
    </row>
    <row r="514" spans="1:8" x14ac:dyDescent="0.2">
      <c r="A514" s="6">
        <v>513</v>
      </c>
      <c r="B514" s="1" t="s">
        <v>10</v>
      </c>
      <c r="C514" s="1" t="s">
        <v>52</v>
      </c>
      <c r="D514" s="4">
        <v>557.5</v>
      </c>
      <c r="E514" s="4">
        <v>1462.2</v>
      </c>
      <c r="F514" s="4">
        <v>2019.7</v>
      </c>
      <c r="H514" s="68">
        <f t="shared" si="7"/>
        <v>0.72396890627320887</v>
      </c>
    </row>
    <row r="515" spans="1:8" x14ac:dyDescent="0.2">
      <c r="A515" s="6">
        <v>514</v>
      </c>
      <c r="B515" s="1" t="s">
        <v>10</v>
      </c>
      <c r="C515" s="1" t="s">
        <v>53</v>
      </c>
      <c r="D515" s="4">
        <v>70</v>
      </c>
      <c r="E515" s="4">
        <v>8205.2000000000007</v>
      </c>
      <c r="F515" s="4">
        <v>8275.2000000000007</v>
      </c>
      <c r="H515" s="68">
        <f t="shared" ref="H515:H578" si="8">IFERROR(E515/F515,0)</f>
        <v>0.99154098994586237</v>
      </c>
    </row>
    <row r="516" spans="1:8" x14ac:dyDescent="0.2">
      <c r="A516" s="6">
        <v>515</v>
      </c>
      <c r="B516" s="1" t="s">
        <v>10</v>
      </c>
      <c r="C516" s="1" t="s">
        <v>54</v>
      </c>
      <c r="D516" s="4">
        <v>1193.9000000000001</v>
      </c>
      <c r="E516" s="4">
        <v>151.1</v>
      </c>
      <c r="F516" s="4">
        <v>1345</v>
      </c>
      <c r="H516" s="68">
        <f t="shared" si="8"/>
        <v>0.11234200743494423</v>
      </c>
    </row>
    <row r="517" spans="1:8" x14ac:dyDescent="0.2">
      <c r="A517" s="6">
        <v>516</v>
      </c>
      <c r="B517" s="1" t="s">
        <v>10</v>
      </c>
      <c r="C517" s="1" t="s">
        <v>55</v>
      </c>
      <c r="D517" s="4">
        <v>1157.9000000000001</v>
      </c>
      <c r="E517" s="4">
        <v>624.29999999999995</v>
      </c>
      <c r="F517" s="4">
        <v>1782.2</v>
      </c>
      <c r="H517" s="68">
        <f t="shared" si="8"/>
        <v>0.35029738525418019</v>
      </c>
    </row>
    <row r="518" spans="1:8" x14ac:dyDescent="0.2">
      <c r="A518" s="6">
        <v>517</v>
      </c>
      <c r="B518" s="1" t="s">
        <v>10</v>
      </c>
      <c r="C518" s="1" t="s">
        <v>56</v>
      </c>
      <c r="D518" s="4">
        <v>16466.7</v>
      </c>
      <c r="E518" s="4">
        <v>44389</v>
      </c>
      <c r="F518" s="4">
        <v>60855.7</v>
      </c>
      <c r="H518" s="68">
        <f t="shared" si="8"/>
        <v>0.72941400723350491</v>
      </c>
    </row>
    <row r="519" spans="1:8" x14ac:dyDescent="0.2">
      <c r="A519" s="6">
        <v>518</v>
      </c>
      <c r="B519" s="1" t="s">
        <v>10</v>
      </c>
      <c r="C519" s="1" t="s">
        <v>57</v>
      </c>
      <c r="D519" s="4">
        <v>956</v>
      </c>
      <c r="E519" s="4">
        <v>17456</v>
      </c>
      <c r="F519" s="4">
        <v>18412</v>
      </c>
      <c r="H519" s="68">
        <f t="shared" si="8"/>
        <v>0.94807734086465345</v>
      </c>
    </row>
    <row r="520" spans="1:8" x14ac:dyDescent="0.2">
      <c r="A520" s="6">
        <v>519</v>
      </c>
      <c r="B520" s="1" t="s">
        <v>10</v>
      </c>
      <c r="C520" s="1" t="s">
        <v>58</v>
      </c>
      <c r="D520" s="4">
        <v>1412.5</v>
      </c>
      <c r="E520" s="4">
        <v>1605</v>
      </c>
      <c r="F520" s="4">
        <v>3017.5</v>
      </c>
      <c r="H520" s="68">
        <f t="shared" si="8"/>
        <v>0.53189726594863296</v>
      </c>
    </row>
    <row r="521" spans="1:8" x14ac:dyDescent="0.2">
      <c r="A521" s="7">
        <v>520</v>
      </c>
      <c r="B521" s="8" t="s">
        <v>10</v>
      </c>
      <c r="C521" s="8" t="s">
        <v>59</v>
      </c>
      <c r="D521" s="9">
        <v>21814.5</v>
      </c>
      <c r="E521" s="9">
        <v>73892.800000000003</v>
      </c>
      <c r="F521" s="9">
        <v>95707.3</v>
      </c>
      <c r="H521" s="68">
        <f t="shared" si="8"/>
        <v>0.77207067799425955</v>
      </c>
    </row>
    <row r="522" spans="1:8" x14ac:dyDescent="0.2">
      <c r="A522" s="6">
        <v>521</v>
      </c>
      <c r="B522" s="1" t="s">
        <v>10</v>
      </c>
      <c r="C522" s="1" t="s">
        <v>33</v>
      </c>
      <c r="D522" s="4">
        <v>0.12632992585077032</v>
      </c>
      <c r="E522" s="4">
        <v>0.41618843514234299</v>
      </c>
      <c r="F522" s="4">
        <v>0.27327351850366038</v>
      </c>
      <c r="H522" s="68">
        <f t="shared" si="8"/>
        <v>1.5229738959750991</v>
      </c>
    </row>
    <row r="523" spans="1:8" x14ac:dyDescent="0.2">
      <c r="A523" s="6">
        <v>522</v>
      </c>
      <c r="B523" s="1" t="s">
        <v>10</v>
      </c>
      <c r="C523" s="1" t="s">
        <v>60</v>
      </c>
      <c r="D523" s="4">
        <v>1239.6000000000004</v>
      </c>
      <c r="E523" s="4">
        <v>141.80000000000001</v>
      </c>
      <c r="F523" s="4">
        <v>1381.4000000000003</v>
      </c>
      <c r="H523" s="68">
        <f t="shared" si="8"/>
        <v>0.10264948602866655</v>
      </c>
    </row>
    <row r="524" spans="1:8" x14ac:dyDescent="0.2">
      <c r="A524" s="6">
        <v>523</v>
      </c>
      <c r="B524" s="1" t="s">
        <v>10</v>
      </c>
      <c r="C524" s="1" t="s">
        <v>61</v>
      </c>
      <c r="D524" s="4">
        <v>647.09999999999991</v>
      </c>
      <c r="E524" s="4">
        <v>1589.8</v>
      </c>
      <c r="F524" s="4">
        <v>2236.8999999999996</v>
      </c>
      <c r="H524" s="68">
        <f t="shared" si="8"/>
        <v>0.71071572265188443</v>
      </c>
    </row>
    <row r="525" spans="1:8" x14ac:dyDescent="0.2">
      <c r="A525" s="6">
        <v>524</v>
      </c>
      <c r="B525" s="1" t="s">
        <v>10</v>
      </c>
      <c r="C525" s="1" t="s">
        <v>62</v>
      </c>
      <c r="D525" s="4">
        <v>1629.5</v>
      </c>
      <c r="E525" s="4">
        <v>829.6</v>
      </c>
      <c r="F525" s="4">
        <v>2459.1</v>
      </c>
      <c r="H525" s="68">
        <f t="shared" si="8"/>
        <v>0.33735919645398726</v>
      </c>
    </row>
    <row r="526" spans="1:8" x14ac:dyDescent="0.2">
      <c r="A526" s="6">
        <v>525</v>
      </c>
      <c r="B526" s="1" t="s">
        <v>10</v>
      </c>
      <c r="C526" s="1" t="s">
        <v>63</v>
      </c>
      <c r="D526" s="4">
        <v>36.299999999999997</v>
      </c>
      <c r="E526" s="4">
        <v>3.1</v>
      </c>
      <c r="F526" s="4">
        <v>39.4</v>
      </c>
      <c r="H526" s="68">
        <f t="shared" si="8"/>
        <v>7.8680203045685279E-2</v>
      </c>
    </row>
    <row r="527" spans="1:8" x14ac:dyDescent="0.2">
      <c r="A527" s="6">
        <v>526</v>
      </c>
      <c r="B527" s="1" t="s">
        <v>10</v>
      </c>
      <c r="C527" s="1" t="s">
        <v>64</v>
      </c>
      <c r="D527" s="4">
        <v>4125.2</v>
      </c>
      <c r="E527" s="4">
        <v>2083.6</v>
      </c>
      <c r="F527" s="4">
        <v>6208.7999999999993</v>
      </c>
      <c r="H527" s="68">
        <f t="shared" si="8"/>
        <v>0.33558819739724266</v>
      </c>
    </row>
    <row r="528" spans="1:8" x14ac:dyDescent="0.2">
      <c r="A528" s="7">
        <v>527</v>
      </c>
      <c r="B528" s="8" t="s">
        <v>10</v>
      </c>
      <c r="C528" s="8" t="s">
        <v>65</v>
      </c>
      <c r="D528" s="9">
        <v>7677.7000000000007</v>
      </c>
      <c r="E528" s="9">
        <v>4647.8999999999996</v>
      </c>
      <c r="F528" s="9">
        <v>12325.6</v>
      </c>
      <c r="H528" s="68">
        <f t="shared" si="8"/>
        <v>0.37709320438761595</v>
      </c>
    </row>
    <row r="529" spans="1:8" x14ac:dyDescent="0.2">
      <c r="A529" s="6">
        <v>528</v>
      </c>
      <c r="B529" s="1" t="s">
        <v>10</v>
      </c>
      <c r="C529" s="1" t="s">
        <v>33</v>
      </c>
      <c r="D529" s="4">
        <v>4.4462319636226336E-2</v>
      </c>
      <c r="E529" s="4">
        <v>2.6178494084648243E-2</v>
      </c>
      <c r="F529" s="4">
        <v>3.5193345540713364E-2</v>
      </c>
      <c r="H529" s="68">
        <f t="shared" si="8"/>
        <v>0.74384784061986076</v>
      </c>
    </row>
    <row r="530" spans="1:8" x14ac:dyDescent="0.2">
      <c r="A530" s="6">
        <v>529</v>
      </c>
      <c r="B530" s="1" t="s">
        <v>10</v>
      </c>
      <c r="C530" s="1" t="s">
        <v>66</v>
      </c>
      <c r="D530" s="4">
        <v>728.2</v>
      </c>
      <c r="E530" s="4">
        <v>783.2</v>
      </c>
      <c r="F530" s="4">
        <v>1511.4</v>
      </c>
      <c r="H530" s="68">
        <f t="shared" si="8"/>
        <v>0.5181950509461426</v>
      </c>
    </row>
    <row r="531" spans="1:8" x14ac:dyDescent="0.2">
      <c r="A531" s="6">
        <v>530</v>
      </c>
      <c r="B531" s="1" t="s">
        <v>10</v>
      </c>
      <c r="C531" s="1" t="s">
        <v>67</v>
      </c>
      <c r="D531" s="4">
        <v>1466.8</v>
      </c>
      <c r="E531" s="4">
        <v>3309.5</v>
      </c>
      <c r="F531" s="4">
        <v>4776.3</v>
      </c>
      <c r="H531" s="68">
        <f t="shared" si="8"/>
        <v>0.69290036220505413</v>
      </c>
    </row>
    <row r="532" spans="1:8" x14ac:dyDescent="0.2">
      <c r="A532" s="6">
        <v>531</v>
      </c>
      <c r="B532" s="1" t="s">
        <v>10</v>
      </c>
      <c r="C532" s="1" t="s">
        <v>68</v>
      </c>
      <c r="D532" s="4">
        <v>2541.5</v>
      </c>
      <c r="E532" s="4">
        <v>10450.6</v>
      </c>
      <c r="F532" s="4">
        <v>12992.1</v>
      </c>
      <c r="H532" s="68">
        <f t="shared" si="8"/>
        <v>0.80438112391376293</v>
      </c>
    </row>
    <row r="533" spans="1:8" x14ac:dyDescent="0.2">
      <c r="A533" s="6">
        <v>532</v>
      </c>
      <c r="B533" s="1" t="s">
        <v>10</v>
      </c>
      <c r="C533" s="1" t="s">
        <v>69</v>
      </c>
      <c r="D533" s="4">
        <v>1321.5</v>
      </c>
      <c r="E533" s="4">
        <v>709.9</v>
      </c>
      <c r="F533" s="4">
        <v>2031.4</v>
      </c>
      <c r="H533" s="68">
        <f t="shared" si="8"/>
        <v>0.34946342423944077</v>
      </c>
    </row>
    <row r="534" spans="1:8" x14ac:dyDescent="0.2">
      <c r="A534" s="6">
        <v>533</v>
      </c>
      <c r="B534" s="1" t="s">
        <v>10</v>
      </c>
      <c r="C534" s="1" t="s">
        <v>70</v>
      </c>
      <c r="D534" s="4">
        <v>6600.1</v>
      </c>
      <c r="E534" s="4">
        <v>4933.3</v>
      </c>
      <c r="F534" s="4">
        <v>11533.400000000001</v>
      </c>
      <c r="H534" s="68">
        <f t="shared" si="8"/>
        <v>0.42774030207917868</v>
      </c>
    </row>
    <row r="535" spans="1:8" x14ac:dyDescent="0.2">
      <c r="A535" s="6">
        <v>534</v>
      </c>
      <c r="B535" s="1" t="s">
        <v>10</v>
      </c>
      <c r="C535" s="1" t="s">
        <v>71</v>
      </c>
      <c r="D535" s="4">
        <v>144.80000000000001</v>
      </c>
      <c r="E535" s="4">
        <v>0</v>
      </c>
      <c r="F535" s="4">
        <v>144.80000000000001</v>
      </c>
      <c r="H535" s="68">
        <f t="shared" si="8"/>
        <v>0</v>
      </c>
    </row>
    <row r="536" spans="1:8" x14ac:dyDescent="0.2">
      <c r="A536" s="6">
        <v>535</v>
      </c>
      <c r="B536" s="1" t="s">
        <v>10</v>
      </c>
      <c r="C536" s="1" t="s">
        <v>72</v>
      </c>
      <c r="D536" s="4">
        <v>5674.6</v>
      </c>
      <c r="E536" s="4">
        <v>86.2</v>
      </c>
      <c r="F536" s="4">
        <v>5760.8</v>
      </c>
      <c r="H536" s="68">
        <f t="shared" si="8"/>
        <v>1.4963199555617276E-2</v>
      </c>
    </row>
    <row r="537" spans="1:8" x14ac:dyDescent="0.2">
      <c r="A537" s="6">
        <v>536</v>
      </c>
      <c r="B537" s="1" t="s">
        <v>10</v>
      </c>
      <c r="C537" s="1" t="s">
        <v>73</v>
      </c>
      <c r="D537" s="4">
        <v>1331.7</v>
      </c>
      <c r="E537" s="4">
        <v>2417.3000000000002</v>
      </c>
      <c r="F537" s="4">
        <v>3749</v>
      </c>
      <c r="H537" s="68">
        <f t="shared" si="8"/>
        <v>0.64478527607361968</v>
      </c>
    </row>
    <row r="538" spans="1:8" x14ac:dyDescent="0.2">
      <c r="A538" s="6">
        <v>537</v>
      </c>
      <c r="B538" s="1" t="s">
        <v>10</v>
      </c>
      <c r="C538" s="1" t="s">
        <v>74</v>
      </c>
      <c r="D538" s="4">
        <v>2044.1</v>
      </c>
      <c r="E538" s="4">
        <v>1100.7</v>
      </c>
      <c r="F538" s="4">
        <v>3144.8</v>
      </c>
      <c r="H538" s="68">
        <f t="shared" si="8"/>
        <v>0.35000635970490968</v>
      </c>
    </row>
    <row r="539" spans="1:8" x14ac:dyDescent="0.2">
      <c r="A539" s="6">
        <v>538</v>
      </c>
      <c r="B539" s="1" t="s">
        <v>10</v>
      </c>
      <c r="C539" s="1" t="s">
        <v>75</v>
      </c>
      <c r="D539" s="4">
        <v>226.1</v>
      </c>
      <c r="E539" s="4">
        <v>40.799999999999997</v>
      </c>
      <c r="F539" s="4">
        <v>266.89999999999998</v>
      </c>
      <c r="H539" s="68">
        <f t="shared" si="8"/>
        <v>0.15286624203821655</v>
      </c>
    </row>
    <row r="540" spans="1:8" x14ac:dyDescent="0.2">
      <c r="A540" s="6">
        <v>539</v>
      </c>
      <c r="B540" s="1" t="s">
        <v>10</v>
      </c>
      <c r="C540" s="1" t="s">
        <v>76</v>
      </c>
      <c r="D540" s="4">
        <v>292.7</v>
      </c>
      <c r="E540" s="4">
        <v>0</v>
      </c>
      <c r="F540" s="4">
        <v>292.7</v>
      </c>
      <c r="H540" s="68">
        <f t="shared" si="8"/>
        <v>0</v>
      </c>
    </row>
    <row r="541" spans="1:8" x14ac:dyDescent="0.2">
      <c r="A541" s="6">
        <v>540</v>
      </c>
      <c r="B541" s="1" t="s">
        <v>10</v>
      </c>
      <c r="C541" s="1" t="s">
        <v>77</v>
      </c>
      <c r="D541" s="4">
        <v>1153</v>
      </c>
      <c r="E541" s="4">
        <v>285.60000000000002</v>
      </c>
      <c r="F541" s="4">
        <v>1438.6</v>
      </c>
      <c r="H541" s="68">
        <f t="shared" si="8"/>
        <v>0.19852634505769501</v>
      </c>
    </row>
    <row r="542" spans="1:8" x14ac:dyDescent="0.2">
      <c r="A542" s="6">
        <v>541</v>
      </c>
      <c r="B542" s="1" t="s">
        <v>10</v>
      </c>
      <c r="C542" s="1" t="s">
        <v>78</v>
      </c>
      <c r="D542" s="4">
        <v>1419.2</v>
      </c>
      <c r="E542" s="4">
        <v>135.30000000000001</v>
      </c>
      <c r="F542" s="4">
        <v>1554.5</v>
      </c>
      <c r="H542" s="68">
        <f t="shared" si="8"/>
        <v>8.7037632679318119E-2</v>
      </c>
    </row>
    <row r="543" spans="1:8" x14ac:dyDescent="0.2">
      <c r="A543" s="7">
        <v>542</v>
      </c>
      <c r="B543" s="8" t="s">
        <v>10</v>
      </c>
      <c r="C543" s="8" t="s">
        <v>79</v>
      </c>
      <c r="D543" s="9">
        <v>24944.3</v>
      </c>
      <c r="E543" s="9">
        <v>24252.399999999998</v>
      </c>
      <c r="F543" s="9">
        <v>49196.7</v>
      </c>
      <c r="H543" s="68">
        <f t="shared" si="8"/>
        <v>0.49296802427805114</v>
      </c>
    </row>
    <row r="544" spans="1:8" x14ac:dyDescent="0.2">
      <c r="A544" s="6">
        <v>543</v>
      </c>
      <c r="B544" s="1" t="s">
        <v>10</v>
      </c>
      <c r="C544" s="1" t="s">
        <v>33</v>
      </c>
      <c r="D544" s="4">
        <v>0.14445490702969904</v>
      </c>
      <c r="E544" s="4">
        <v>0.13659745475129048</v>
      </c>
      <c r="F544" s="4">
        <v>0.14047157643950908</v>
      </c>
      <c r="H544" s="68">
        <f t="shared" si="8"/>
        <v>0.97242060076198478</v>
      </c>
    </row>
    <row r="545" spans="1:8" x14ac:dyDescent="0.2">
      <c r="A545" s="6">
        <v>544</v>
      </c>
      <c r="B545" s="1" t="s">
        <v>10</v>
      </c>
      <c r="C545" s="1" t="s">
        <v>80</v>
      </c>
      <c r="D545" s="4">
        <v>0</v>
      </c>
      <c r="E545" s="4">
        <v>14087.699999999999</v>
      </c>
      <c r="F545" s="4">
        <v>14087.699999999999</v>
      </c>
      <c r="H545" s="68">
        <f t="shared" si="8"/>
        <v>1</v>
      </c>
    </row>
    <row r="546" spans="1:8" x14ac:dyDescent="0.2">
      <c r="A546" s="6">
        <v>545</v>
      </c>
      <c r="B546" s="1" t="s">
        <v>10</v>
      </c>
      <c r="C546" s="1" t="s">
        <v>81</v>
      </c>
      <c r="D546" s="4">
        <v>0</v>
      </c>
      <c r="E546" s="4">
        <v>851.1</v>
      </c>
      <c r="F546" s="4">
        <v>851.1</v>
      </c>
      <c r="H546" s="68">
        <f t="shared" si="8"/>
        <v>1</v>
      </c>
    </row>
    <row r="547" spans="1:8" x14ac:dyDescent="0.2">
      <c r="A547" s="6">
        <v>546</v>
      </c>
      <c r="B547" s="1" t="s">
        <v>10</v>
      </c>
      <c r="C547" s="1" t="s">
        <v>82</v>
      </c>
      <c r="D547" s="4">
        <v>0</v>
      </c>
      <c r="E547" s="4">
        <v>169.5</v>
      </c>
      <c r="F547" s="4">
        <v>169.5</v>
      </c>
      <c r="H547" s="68">
        <f t="shared" si="8"/>
        <v>1</v>
      </c>
    </row>
    <row r="548" spans="1:8" x14ac:dyDescent="0.2">
      <c r="A548" s="6">
        <v>547</v>
      </c>
      <c r="B548" s="1" t="s">
        <v>10</v>
      </c>
      <c r="C548" s="1" t="s">
        <v>83</v>
      </c>
      <c r="D548" s="4">
        <v>0</v>
      </c>
      <c r="E548" s="4">
        <v>1790.2</v>
      </c>
      <c r="F548" s="4">
        <v>1790.2</v>
      </c>
      <c r="H548" s="68">
        <f t="shared" si="8"/>
        <v>1</v>
      </c>
    </row>
    <row r="549" spans="1:8" x14ac:dyDescent="0.2">
      <c r="A549" s="6">
        <v>548</v>
      </c>
      <c r="B549" s="1" t="s">
        <v>10</v>
      </c>
      <c r="C549" s="1" t="s">
        <v>84</v>
      </c>
      <c r="D549" s="4">
        <v>0</v>
      </c>
      <c r="E549" s="4">
        <v>2607.6999999999998</v>
      </c>
      <c r="F549" s="4">
        <v>2607.6999999999998</v>
      </c>
      <c r="H549" s="68">
        <f t="shared" si="8"/>
        <v>1</v>
      </c>
    </row>
    <row r="550" spans="1:8" x14ac:dyDescent="0.2">
      <c r="A550" s="6">
        <v>549</v>
      </c>
      <c r="B550" s="1" t="s">
        <v>10</v>
      </c>
      <c r="C550" s="1" t="s">
        <v>85</v>
      </c>
      <c r="D550" s="4">
        <v>0</v>
      </c>
      <c r="E550" s="4">
        <v>0</v>
      </c>
      <c r="F550" s="4">
        <v>0</v>
      </c>
      <c r="H550" s="68">
        <f t="shared" si="8"/>
        <v>0</v>
      </c>
    </row>
    <row r="551" spans="1:8" x14ac:dyDescent="0.2">
      <c r="A551" s="7">
        <v>550</v>
      </c>
      <c r="B551" s="8" t="s">
        <v>10</v>
      </c>
      <c r="C551" s="8" t="s">
        <v>86</v>
      </c>
      <c r="D551" s="9">
        <v>0</v>
      </c>
      <c r="E551" s="9">
        <v>19506.2</v>
      </c>
      <c r="F551" s="9">
        <v>19506.2</v>
      </c>
      <c r="H551" s="68">
        <f t="shared" si="8"/>
        <v>1</v>
      </c>
    </row>
    <row r="552" spans="1:8" x14ac:dyDescent="0.2">
      <c r="A552" s="6">
        <v>551</v>
      </c>
      <c r="B552" s="1" t="s">
        <v>10</v>
      </c>
      <c r="C552" s="1" t="s">
        <v>33</v>
      </c>
      <c r="D552" s="4">
        <v>0</v>
      </c>
      <c r="E552" s="4">
        <v>0.1098653028924817</v>
      </c>
      <c r="F552" s="4">
        <v>5.569614759413441E-2</v>
      </c>
      <c r="H552" s="68">
        <f t="shared" si="8"/>
        <v>1.972583520373536</v>
      </c>
    </row>
    <row r="553" spans="1:8" x14ac:dyDescent="0.2">
      <c r="A553" s="6">
        <v>552</v>
      </c>
      <c r="B553" s="1" t="s">
        <v>10</v>
      </c>
      <c r="C553" s="1" t="s">
        <v>87</v>
      </c>
      <c r="D553" s="4">
        <v>0</v>
      </c>
      <c r="E553" s="4">
        <v>291</v>
      </c>
      <c r="F553" s="4">
        <v>291</v>
      </c>
      <c r="H553" s="68">
        <f t="shared" si="8"/>
        <v>1</v>
      </c>
    </row>
    <row r="554" spans="1:8" x14ac:dyDescent="0.2">
      <c r="A554" s="6">
        <v>553</v>
      </c>
      <c r="B554" s="1" t="s">
        <v>10</v>
      </c>
      <c r="C554" s="1" t="s">
        <v>88</v>
      </c>
      <c r="D554" s="4">
        <v>0</v>
      </c>
      <c r="E554" s="4">
        <v>0</v>
      </c>
      <c r="F554" s="4">
        <v>0</v>
      </c>
      <c r="H554" s="68">
        <f t="shared" si="8"/>
        <v>0</v>
      </c>
    </row>
    <row r="555" spans="1:8" x14ac:dyDescent="0.2">
      <c r="A555" s="7">
        <v>554</v>
      </c>
      <c r="B555" s="8" t="s">
        <v>10</v>
      </c>
      <c r="C555" s="8" t="s">
        <v>89</v>
      </c>
      <c r="D555" s="9">
        <v>0</v>
      </c>
      <c r="E555" s="9">
        <v>291</v>
      </c>
      <c r="F555" s="9">
        <v>291</v>
      </c>
      <c r="H555" s="68">
        <f t="shared" si="8"/>
        <v>1</v>
      </c>
    </row>
    <row r="556" spans="1:8" x14ac:dyDescent="0.2">
      <c r="A556" s="6">
        <v>555</v>
      </c>
      <c r="B556" s="1" t="s">
        <v>10</v>
      </c>
      <c r="C556" s="1" t="s">
        <v>33</v>
      </c>
      <c r="D556" s="4">
        <v>0</v>
      </c>
      <c r="E556" s="4">
        <v>1.639007245989079E-3</v>
      </c>
      <c r="F556" s="4">
        <v>8.3089371327542589E-4</v>
      </c>
      <c r="H556" s="68">
        <f t="shared" si="8"/>
        <v>1.972583520373536</v>
      </c>
    </row>
    <row r="557" spans="1:8" x14ac:dyDescent="0.2">
      <c r="A557" s="6">
        <v>556</v>
      </c>
      <c r="B557" s="1" t="s">
        <v>10</v>
      </c>
      <c r="C557" s="1" t="s">
        <v>90</v>
      </c>
      <c r="D557" s="4">
        <v>4939.6000000000004</v>
      </c>
      <c r="E557" s="4">
        <v>905.8</v>
      </c>
      <c r="F557" s="4">
        <v>5845.4000000000005</v>
      </c>
      <c r="H557" s="68">
        <f t="shared" si="8"/>
        <v>0.15495945529818317</v>
      </c>
    </row>
    <row r="558" spans="1:8" x14ac:dyDescent="0.2">
      <c r="A558" s="6">
        <v>557</v>
      </c>
      <c r="B558" s="1" t="s">
        <v>10</v>
      </c>
      <c r="C558" s="1" t="s">
        <v>33</v>
      </c>
      <c r="D558" s="4">
        <v>2.8605711876617163E-2</v>
      </c>
      <c r="E558" s="4">
        <v>5.1017620735976203E-3</v>
      </c>
      <c r="F558" s="4">
        <v>1.6690399008866579E-2</v>
      </c>
      <c r="H558" s="68">
        <f t="shared" si="8"/>
        <v>0.30567046784725571</v>
      </c>
    </row>
    <row r="559" spans="1:8" x14ac:dyDescent="0.2">
      <c r="A559" s="6">
        <v>558</v>
      </c>
      <c r="B559" s="1" t="s">
        <v>10</v>
      </c>
      <c r="C559" s="1" t="s">
        <v>91</v>
      </c>
      <c r="D559" s="4">
        <v>1793</v>
      </c>
      <c r="E559" s="4">
        <v>231.3</v>
      </c>
      <c r="F559" s="4">
        <v>2024.3</v>
      </c>
      <c r="H559" s="68">
        <f t="shared" si="8"/>
        <v>0.11426172010077558</v>
      </c>
    </row>
    <row r="560" spans="1:8" x14ac:dyDescent="0.2">
      <c r="A560" s="6">
        <v>559</v>
      </c>
      <c r="B560" s="1" t="s">
        <v>10</v>
      </c>
      <c r="C560" s="1" t="s">
        <v>33</v>
      </c>
      <c r="D560" s="4">
        <v>1.0383440237018093E-2</v>
      </c>
      <c r="E560" s="4">
        <v>1.3027573058325566E-3</v>
      </c>
      <c r="F560" s="4">
        <v>5.7799936212489505E-3</v>
      </c>
      <c r="H560" s="68">
        <f t="shared" si="8"/>
        <v>0.22539078608032351</v>
      </c>
    </row>
    <row r="561" spans="1:8" x14ac:dyDescent="0.2">
      <c r="A561" s="10">
        <v>560</v>
      </c>
      <c r="B561" s="11" t="s">
        <v>10</v>
      </c>
      <c r="C561" s="11" t="s">
        <v>2</v>
      </c>
      <c r="D561" s="12">
        <v>172678.80000000002</v>
      </c>
      <c r="E561" s="12">
        <v>177546.5</v>
      </c>
      <c r="F561" s="12">
        <v>350225.3</v>
      </c>
      <c r="H561" s="68">
        <f t="shared" si="8"/>
        <v>0.50694938372527631</v>
      </c>
    </row>
    <row r="562" spans="1:8" x14ac:dyDescent="0.2">
      <c r="A562" s="6">
        <v>561</v>
      </c>
      <c r="B562" s="1" t="s">
        <v>11</v>
      </c>
      <c r="C562" s="1" t="s">
        <v>23</v>
      </c>
      <c r="D562" s="4">
        <v>50628.5</v>
      </c>
      <c r="E562" s="4">
        <v>3089.3999999999996</v>
      </c>
      <c r="F562" s="4">
        <v>53717.9</v>
      </c>
      <c r="H562" s="68">
        <f t="shared" si="8"/>
        <v>5.7511555738403761E-2</v>
      </c>
    </row>
    <row r="563" spans="1:8" x14ac:dyDescent="0.2">
      <c r="A563" s="6">
        <v>562</v>
      </c>
      <c r="B563" s="1" t="s">
        <v>11</v>
      </c>
      <c r="C563" s="1" t="s">
        <v>24</v>
      </c>
      <c r="D563" s="4">
        <v>0</v>
      </c>
      <c r="E563" s="4">
        <v>0</v>
      </c>
      <c r="F563" s="4">
        <v>0</v>
      </c>
      <c r="H563" s="68">
        <f t="shared" si="8"/>
        <v>0</v>
      </c>
    </row>
    <row r="564" spans="1:8" x14ac:dyDescent="0.2">
      <c r="A564" s="6">
        <v>563</v>
      </c>
      <c r="B564" s="1" t="s">
        <v>11</v>
      </c>
      <c r="C564" s="1" t="s">
        <v>25</v>
      </c>
      <c r="D564" s="4">
        <v>773.2</v>
      </c>
      <c r="E564" s="4">
        <v>25</v>
      </c>
      <c r="F564" s="4">
        <v>798.2</v>
      </c>
      <c r="H564" s="68">
        <f t="shared" si="8"/>
        <v>3.1320471059884739E-2</v>
      </c>
    </row>
    <row r="565" spans="1:8" x14ac:dyDescent="0.2">
      <c r="A565" s="6">
        <v>564</v>
      </c>
      <c r="B565" s="1" t="s">
        <v>11</v>
      </c>
      <c r="C565" s="1" t="s">
        <v>26</v>
      </c>
      <c r="D565" s="4">
        <v>10725.3</v>
      </c>
      <c r="E565" s="4">
        <v>328.4</v>
      </c>
      <c r="F565" s="4">
        <v>11053.699999999999</v>
      </c>
      <c r="H565" s="68">
        <f t="shared" si="8"/>
        <v>2.9709509033174413E-2</v>
      </c>
    </row>
    <row r="566" spans="1:8" x14ac:dyDescent="0.2">
      <c r="A566" s="6">
        <v>565</v>
      </c>
      <c r="B566" s="1" t="s">
        <v>11</v>
      </c>
      <c r="C566" s="1" t="s">
        <v>27</v>
      </c>
      <c r="D566" s="4">
        <v>5622.1</v>
      </c>
      <c r="E566" s="4">
        <v>1021.9</v>
      </c>
      <c r="F566" s="4">
        <v>6644</v>
      </c>
      <c r="H566" s="68">
        <f t="shared" si="8"/>
        <v>0.15380794701986755</v>
      </c>
    </row>
    <row r="567" spans="1:8" x14ac:dyDescent="0.2">
      <c r="A567" s="6">
        <v>566</v>
      </c>
      <c r="B567" s="1" t="s">
        <v>11</v>
      </c>
      <c r="C567" s="1" t="s">
        <v>28</v>
      </c>
      <c r="D567" s="4">
        <v>0</v>
      </c>
      <c r="E567" s="4">
        <v>0</v>
      </c>
      <c r="F567" s="4">
        <v>0</v>
      </c>
      <c r="H567" s="68">
        <f t="shared" si="8"/>
        <v>0</v>
      </c>
    </row>
    <row r="568" spans="1:8" x14ac:dyDescent="0.2">
      <c r="A568" s="6">
        <v>567</v>
      </c>
      <c r="B568" s="1" t="s">
        <v>11</v>
      </c>
      <c r="C568" s="1" t="s">
        <v>29</v>
      </c>
      <c r="D568" s="4">
        <v>2912.3</v>
      </c>
      <c r="E568" s="4">
        <v>1175.5</v>
      </c>
      <c r="F568" s="4">
        <v>4087.8</v>
      </c>
      <c r="H568" s="68">
        <f t="shared" si="8"/>
        <v>0.28756299231860655</v>
      </c>
    </row>
    <row r="569" spans="1:8" x14ac:dyDescent="0.2">
      <c r="A569" s="6">
        <v>568</v>
      </c>
      <c r="B569" s="1" t="s">
        <v>11</v>
      </c>
      <c r="C569" s="1" t="s">
        <v>30</v>
      </c>
      <c r="D569" s="4">
        <v>4393.5</v>
      </c>
      <c r="E569" s="4">
        <v>100.4</v>
      </c>
      <c r="F569" s="4">
        <v>4493.8999999999996</v>
      </c>
      <c r="H569" s="68">
        <f t="shared" si="8"/>
        <v>2.2341396114733309E-2</v>
      </c>
    </row>
    <row r="570" spans="1:8" x14ac:dyDescent="0.2">
      <c r="A570" s="6">
        <v>569</v>
      </c>
      <c r="B570" s="1" t="s">
        <v>11</v>
      </c>
      <c r="C570" s="1" t="s">
        <v>31</v>
      </c>
      <c r="D570" s="4">
        <v>9910</v>
      </c>
      <c r="E570" s="4">
        <v>3879.4</v>
      </c>
      <c r="F570" s="4">
        <v>13789.4</v>
      </c>
      <c r="H570" s="68">
        <f t="shared" si="8"/>
        <v>0.28133203765210962</v>
      </c>
    </row>
    <row r="571" spans="1:8" x14ac:dyDescent="0.2">
      <c r="A571" s="7">
        <v>570</v>
      </c>
      <c r="B571" s="8" t="s">
        <v>11</v>
      </c>
      <c r="C571" s="8" t="s">
        <v>32</v>
      </c>
      <c r="D571" s="9">
        <v>84964.900000000009</v>
      </c>
      <c r="E571" s="9">
        <v>9620</v>
      </c>
      <c r="F571" s="9">
        <v>94584.900000000009</v>
      </c>
      <c r="H571" s="68">
        <f t="shared" si="8"/>
        <v>0.10170756642973666</v>
      </c>
    </row>
    <row r="572" spans="1:8" x14ac:dyDescent="0.2">
      <c r="A572" s="6">
        <v>571</v>
      </c>
      <c r="B572" s="1" t="s">
        <v>11</v>
      </c>
      <c r="C572" s="1" t="s">
        <v>33</v>
      </c>
      <c r="D572" s="4">
        <v>0.49771746204508133</v>
      </c>
      <c r="E572" s="4">
        <v>5.7484142563063736E-2</v>
      </c>
      <c r="F572" s="4">
        <v>0.27978764691196467</v>
      </c>
      <c r="H572" s="68">
        <f t="shared" si="8"/>
        <v>0.20545632803134856</v>
      </c>
    </row>
    <row r="573" spans="1:8" x14ac:dyDescent="0.2">
      <c r="A573" s="6">
        <v>572</v>
      </c>
      <c r="B573" s="1" t="s">
        <v>11</v>
      </c>
      <c r="C573" s="1" t="s">
        <v>34</v>
      </c>
      <c r="D573" s="4">
        <v>1656.7</v>
      </c>
      <c r="E573" s="4">
        <v>1582.7</v>
      </c>
      <c r="F573" s="4">
        <v>3239.4</v>
      </c>
      <c r="H573" s="68">
        <f t="shared" si="8"/>
        <v>0.48857813175279374</v>
      </c>
    </row>
    <row r="574" spans="1:8" x14ac:dyDescent="0.2">
      <c r="A574" s="6">
        <v>573</v>
      </c>
      <c r="B574" s="1" t="s">
        <v>11</v>
      </c>
      <c r="C574" s="1" t="s">
        <v>35</v>
      </c>
      <c r="D574" s="4">
        <v>182</v>
      </c>
      <c r="E574" s="4">
        <v>2838.7</v>
      </c>
      <c r="F574" s="4">
        <v>3020.7</v>
      </c>
      <c r="H574" s="68">
        <f t="shared" si="8"/>
        <v>0.93974906478630782</v>
      </c>
    </row>
    <row r="575" spans="1:8" x14ac:dyDescent="0.2">
      <c r="A575" s="6">
        <v>574</v>
      </c>
      <c r="B575" s="1" t="s">
        <v>11</v>
      </c>
      <c r="C575" s="1" t="s">
        <v>36</v>
      </c>
      <c r="D575" s="4">
        <v>0</v>
      </c>
      <c r="E575" s="4">
        <v>0</v>
      </c>
      <c r="F575" s="4">
        <v>0</v>
      </c>
      <c r="H575" s="68">
        <f t="shared" si="8"/>
        <v>0</v>
      </c>
    </row>
    <row r="576" spans="1:8" x14ac:dyDescent="0.2">
      <c r="A576" s="6">
        <v>575</v>
      </c>
      <c r="B576" s="1" t="s">
        <v>11</v>
      </c>
      <c r="C576" s="1" t="s">
        <v>37</v>
      </c>
      <c r="D576" s="4">
        <v>1285.5999999999999</v>
      </c>
      <c r="E576" s="4">
        <v>1716</v>
      </c>
      <c r="F576" s="4">
        <v>3001.6</v>
      </c>
      <c r="H576" s="68">
        <f t="shared" si="8"/>
        <v>0.57169509594882728</v>
      </c>
    </row>
    <row r="577" spans="1:8" x14ac:dyDescent="0.2">
      <c r="A577" s="7">
        <v>576</v>
      </c>
      <c r="B577" s="8" t="s">
        <v>11</v>
      </c>
      <c r="C577" s="8" t="s">
        <v>38</v>
      </c>
      <c r="D577" s="9">
        <v>3124.3</v>
      </c>
      <c r="E577" s="9">
        <v>6137.4</v>
      </c>
      <c r="F577" s="9">
        <v>9261.7000000000007</v>
      </c>
      <c r="H577" s="68">
        <f t="shared" si="8"/>
        <v>0.66266452163209766</v>
      </c>
    </row>
    <row r="578" spans="1:8" x14ac:dyDescent="0.2">
      <c r="A578" s="6">
        <v>577</v>
      </c>
      <c r="B578" s="1" t="s">
        <v>11</v>
      </c>
      <c r="C578" s="1" t="s">
        <v>33</v>
      </c>
      <c r="D578" s="4">
        <v>1.8301894860906651E-2</v>
      </c>
      <c r="E578" s="4">
        <v>3.6673926878019479E-2</v>
      </c>
      <c r="F578" s="4">
        <v>2.7396648401642791E-2</v>
      </c>
      <c r="H578" s="68">
        <f t="shared" si="8"/>
        <v>1.3386282270870911</v>
      </c>
    </row>
    <row r="579" spans="1:8" x14ac:dyDescent="0.2">
      <c r="A579" s="6">
        <v>578</v>
      </c>
      <c r="B579" s="1" t="s">
        <v>11</v>
      </c>
      <c r="C579" s="1" t="s">
        <v>39</v>
      </c>
      <c r="D579" s="4">
        <v>0</v>
      </c>
      <c r="E579" s="4">
        <v>0</v>
      </c>
      <c r="F579" s="4">
        <v>0</v>
      </c>
      <c r="H579" s="68">
        <f t="shared" ref="H579:H642" si="9">IFERROR(E579/F579,0)</f>
        <v>0</v>
      </c>
    </row>
    <row r="580" spans="1:8" x14ac:dyDescent="0.2">
      <c r="A580" s="6">
        <v>579</v>
      </c>
      <c r="B580" s="1" t="s">
        <v>11</v>
      </c>
      <c r="C580" s="1" t="s">
        <v>40</v>
      </c>
      <c r="D580" s="4">
        <v>703.7</v>
      </c>
      <c r="E580" s="4">
        <v>1941.6</v>
      </c>
      <c r="F580" s="4">
        <v>2645.3</v>
      </c>
      <c r="H580" s="68">
        <f t="shared" si="9"/>
        <v>0.73398102294635759</v>
      </c>
    </row>
    <row r="581" spans="1:8" x14ac:dyDescent="0.2">
      <c r="A581" s="6">
        <v>580</v>
      </c>
      <c r="B581" s="1" t="s">
        <v>11</v>
      </c>
      <c r="C581" s="1" t="s">
        <v>41</v>
      </c>
      <c r="D581" s="4">
        <v>0</v>
      </c>
      <c r="E581" s="4">
        <v>271.10000000000002</v>
      </c>
      <c r="F581" s="4">
        <v>271.10000000000002</v>
      </c>
      <c r="H581" s="68">
        <f t="shared" si="9"/>
        <v>1</v>
      </c>
    </row>
    <row r="582" spans="1:8" x14ac:dyDescent="0.2">
      <c r="A582" s="6">
        <v>581</v>
      </c>
      <c r="B582" s="1" t="s">
        <v>11</v>
      </c>
      <c r="C582" s="1" t="s">
        <v>42</v>
      </c>
      <c r="D582" s="4">
        <v>1147.9000000000001</v>
      </c>
      <c r="E582" s="4">
        <v>17717.8</v>
      </c>
      <c r="F582" s="4">
        <v>18865.7</v>
      </c>
      <c r="H582" s="68">
        <f t="shared" si="9"/>
        <v>0.93915412627148731</v>
      </c>
    </row>
    <row r="583" spans="1:8" x14ac:dyDescent="0.2">
      <c r="A583" s="6">
        <v>582</v>
      </c>
      <c r="B583" s="1" t="s">
        <v>11</v>
      </c>
      <c r="C583" s="1" t="s">
        <v>43</v>
      </c>
      <c r="D583" s="4">
        <v>0</v>
      </c>
      <c r="E583" s="4">
        <v>0</v>
      </c>
      <c r="F583" s="4">
        <v>0</v>
      </c>
      <c r="H583" s="68">
        <f t="shared" si="9"/>
        <v>0</v>
      </c>
    </row>
    <row r="584" spans="1:8" x14ac:dyDescent="0.2">
      <c r="A584" s="6">
        <v>583</v>
      </c>
      <c r="B584" s="1" t="s">
        <v>11</v>
      </c>
      <c r="C584" s="1" t="s">
        <v>44</v>
      </c>
      <c r="D584" s="4">
        <v>967.3</v>
      </c>
      <c r="E584" s="4">
        <v>768.5</v>
      </c>
      <c r="F584" s="4">
        <v>1735.8</v>
      </c>
      <c r="H584" s="68">
        <f t="shared" si="9"/>
        <v>0.44273533817260052</v>
      </c>
    </row>
    <row r="585" spans="1:8" x14ac:dyDescent="0.2">
      <c r="A585" s="7">
        <v>584</v>
      </c>
      <c r="B585" s="8" t="s">
        <v>11</v>
      </c>
      <c r="C585" s="8" t="s">
        <v>45</v>
      </c>
      <c r="D585" s="9">
        <v>2818.9</v>
      </c>
      <c r="E585" s="9">
        <v>20699</v>
      </c>
      <c r="F585" s="9">
        <v>23517.9</v>
      </c>
      <c r="H585" s="68">
        <f t="shared" si="9"/>
        <v>0.88013810756912814</v>
      </c>
    </row>
    <row r="586" spans="1:8" x14ac:dyDescent="0.2">
      <c r="A586" s="6">
        <v>585</v>
      </c>
      <c r="B586" s="1" t="s">
        <v>11</v>
      </c>
      <c r="C586" s="1" t="s">
        <v>33</v>
      </c>
      <c r="D586" s="4">
        <v>1.6512886542076548E-2</v>
      </c>
      <c r="E586" s="4">
        <v>0.12368651423210565</v>
      </c>
      <c r="F586" s="4">
        <v>6.9567318898797734E-2</v>
      </c>
      <c r="H586" s="68">
        <f t="shared" si="9"/>
        <v>1.7779399319964768</v>
      </c>
    </row>
    <row r="587" spans="1:8" x14ac:dyDescent="0.2">
      <c r="A587" s="6">
        <v>586</v>
      </c>
      <c r="B587" s="1" t="s">
        <v>11</v>
      </c>
      <c r="C587" s="1" t="s">
        <v>46</v>
      </c>
      <c r="D587" s="4">
        <v>8646</v>
      </c>
      <c r="E587" s="4">
        <v>818.4</v>
      </c>
      <c r="F587" s="4">
        <v>9464.4</v>
      </c>
      <c r="H587" s="68">
        <f t="shared" si="9"/>
        <v>8.6471408647140868E-2</v>
      </c>
    </row>
    <row r="588" spans="1:8" x14ac:dyDescent="0.2">
      <c r="A588" s="6">
        <v>587</v>
      </c>
      <c r="B588" s="1" t="s">
        <v>11</v>
      </c>
      <c r="C588" s="1" t="s">
        <v>47</v>
      </c>
      <c r="D588" s="4">
        <v>3776.8</v>
      </c>
      <c r="E588" s="4">
        <v>22.1</v>
      </c>
      <c r="F588" s="4">
        <v>3798.9</v>
      </c>
      <c r="H588" s="68">
        <f t="shared" si="9"/>
        <v>5.817473479165022E-3</v>
      </c>
    </row>
    <row r="589" spans="1:8" x14ac:dyDescent="0.2">
      <c r="A589" s="6">
        <v>588</v>
      </c>
      <c r="B589" s="1" t="s">
        <v>11</v>
      </c>
      <c r="C589" s="1" t="s">
        <v>48</v>
      </c>
      <c r="D589" s="4">
        <v>0</v>
      </c>
      <c r="E589" s="4">
        <v>0</v>
      </c>
      <c r="F589" s="4">
        <v>0</v>
      </c>
      <c r="H589" s="68">
        <f t="shared" si="9"/>
        <v>0</v>
      </c>
    </row>
    <row r="590" spans="1:8" x14ac:dyDescent="0.2">
      <c r="A590" s="6">
        <v>589</v>
      </c>
      <c r="B590" s="1" t="s">
        <v>11</v>
      </c>
      <c r="C590" s="1" t="s">
        <v>49</v>
      </c>
      <c r="D590" s="4">
        <v>1116.5</v>
      </c>
      <c r="E590" s="4">
        <v>2727.9</v>
      </c>
      <c r="F590" s="4">
        <v>3844.4</v>
      </c>
      <c r="H590" s="68">
        <f t="shared" si="9"/>
        <v>0.70957756737072109</v>
      </c>
    </row>
    <row r="591" spans="1:8" x14ac:dyDescent="0.2">
      <c r="A591" s="6">
        <v>590</v>
      </c>
      <c r="B591" s="1" t="s">
        <v>11</v>
      </c>
      <c r="C591" s="1" t="s">
        <v>50</v>
      </c>
      <c r="D591" s="4">
        <v>1087</v>
      </c>
      <c r="E591" s="4">
        <v>3268.4</v>
      </c>
      <c r="F591" s="4">
        <v>4355.3999999999996</v>
      </c>
      <c r="H591" s="68">
        <f t="shared" si="9"/>
        <v>0.75042476006796166</v>
      </c>
    </row>
    <row r="592" spans="1:8" x14ac:dyDescent="0.2">
      <c r="A592" s="7">
        <v>591</v>
      </c>
      <c r="B592" s="8" t="s">
        <v>11</v>
      </c>
      <c r="C592" s="8" t="s">
        <v>51</v>
      </c>
      <c r="D592" s="9">
        <v>14626.3</v>
      </c>
      <c r="E592" s="9">
        <v>6836.8</v>
      </c>
      <c r="F592" s="9">
        <v>21463.1</v>
      </c>
      <c r="H592" s="68">
        <f t="shared" si="9"/>
        <v>0.31853739674138409</v>
      </c>
    </row>
    <row r="593" spans="1:8" x14ac:dyDescent="0.2">
      <c r="A593" s="6">
        <v>592</v>
      </c>
      <c r="B593" s="1" t="s">
        <v>11</v>
      </c>
      <c r="C593" s="1" t="s">
        <v>33</v>
      </c>
      <c r="D593" s="4">
        <v>8.5679673784232926E-2</v>
      </c>
      <c r="E593" s="4">
        <v>4.0853179404901685E-2</v>
      </c>
      <c r="F593" s="4">
        <v>6.3489100738449669E-2</v>
      </c>
      <c r="H593" s="68">
        <f t="shared" si="9"/>
        <v>0.64346760199362174</v>
      </c>
    </row>
    <row r="594" spans="1:8" x14ac:dyDescent="0.2">
      <c r="A594" s="6">
        <v>593</v>
      </c>
      <c r="B594" s="1" t="s">
        <v>11</v>
      </c>
      <c r="C594" s="1" t="s">
        <v>52</v>
      </c>
      <c r="D594" s="4">
        <v>115.4</v>
      </c>
      <c r="E594" s="4">
        <v>1814</v>
      </c>
      <c r="F594" s="4">
        <v>1929.4</v>
      </c>
      <c r="H594" s="68">
        <f t="shared" si="9"/>
        <v>0.94018865968694931</v>
      </c>
    </row>
    <row r="595" spans="1:8" x14ac:dyDescent="0.2">
      <c r="A595" s="6">
        <v>594</v>
      </c>
      <c r="B595" s="1" t="s">
        <v>11</v>
      </c>
      <c r="C595" s="1" t="s">
        <v>53</v>
      </c>
      <c r="D595" s="4">
        <v>0</v>
      </c>
      <c r="E595" s="4">
        <v>1403</v>
      </c>
      <c r="F595" s="4">
        <v>1403</v>
      </c>
      <c r="H595" s="68">
        <f t="shared" si="9"/>
        <v>1</v>
      </c>
    </row>
    <row r="596" spans="1:8" x14ac:dyDescent="0.2">
      <c r="A596" s="6">
        <v>595</v>
      </c>
      <c r="B596" s="1" t="s">
        <v>11</v>
      </c>
      <c r="C596" s="1" t="s">
        <v>54</v>
      </c>
      <c r="D596" s="4">
        <v>30.2</v>
      </c>
      <c r="E596" s="4">
        <v>507.6</v>
      </c>
      <c r="F596" s="4">
        <v>537.80000000000007</v>
      </c>
      <c r="H596" s="68">
        <f t="shared" si="9"/>
        <v>0.94384529564894004</v>
      </c>
    </row>
    <row r="597" spans="1:8" x14ac:dyDescent="0.2">
      <c r="A597" s="6">
        <v>596</v>
      </c>
      <c r="B597" s="1" t="s">
        <v>11</v>
      </c>
      <c r="C597" s="1" t="s">
        <v>55</v>
      </c>
      <c r="D597" s="4">
        <v>1537.8</v>
      </c>
      <c r="E597" s="4">
        <v>14039.1</v>
      </c>
      <c r="F597" s="4">
        <v>15576.9</v>
      </c>
      <c r="H597" s="68">
        <f t="shared" si="9"/>
        <v>0.90127689078057893</v>
      </c>
    </row>
    <row r="598" spans="1:8" x14ac:dyDescent="0.2">
      <c r="A598" s="6">
        <v>597</v>
      </c>
      <c r="B598" s="1" t="s">
        <v>11</v>
      </c>
      <c r="C598" s="1" t="s">
        <v>56</v>
      </c>
      <c r="D598" s="4">
        <v>21606</v>
      </c>
      <c r="E598" s="4">
        <v>33658.800000000003</v>
      </c>
      <c r="F598" s="4">
        <v>55264.800000000003</v>
      </c>
      <c r="H598" s="68">
        <f t="shared" si="9"/>
        <v>0.60904590263603597</v>
      </c>
    </row>
    <row r="599" spans="1:8" x14ac:dyDescent="0.2">
      <c r="A599" s="6">
        <v>598</v>
      </c>
      <c r="B599" s="1" t="s">
        <v>11</v>
      </c>
      <c r="C599" s="1" t="s">
        <v>57</v>
      </c>
      <c r="D599" s="4">
        <v>633.1</v>
      </c>
      <c r="E599" s="4">
        <v>6635.6</v>
      </c>
      <c r="F599" s="4">
        <v>7268.7000000000007</v>
      </c>
      <c r="H599" s="68">
        <f t="shared" si="9"/>
        <v>0.91290051866220912</v>
      </c>
    </row>
    <row r="600" spans="1:8" x14ac:dyDescent="0.2">
      <c r="A600" s="6">
        <v>599</v>
      </c>
      <c r="B600" s="1" t="s">
        <v>11</v>
      </c>
      <c r="C600" s="1" t="s">
        <v>58</v>
      </c>
      <c r="D600" s="4">
        <v>1928.5</v>
      </c>
      <c r="E600" s="4">
        <v>526.9</v>
      </c>
      <c r="F600" s="4">
        <v>2455.4</v>
      </c>
      <c r="H600" s="68">
        <f t="shared" si="9"/>
        <v>0.21458825445955851</v>
      </c>
    </row>
    <row r="601" spans="1:8" x14ac:dyDescent="0.2">
      <c r="A601" s="7">
        <v>600</v>
      </c>
      <c r="B601" s="8" t="s">
        <v>11</v>
      </c>
      <c r="C601" s="8" t="s">
        <v>59</v>
      </c>
      <c r="D601" s="9">
        <v>25851</v>
      </c>
      <c r="E601" s="9">
        <v>58585</v>
      </c>
      <c r="F601" s="9">
        <v>84436</v>
      </c>
      <c r="H601" s="68">
        <f t="shared" si="9"/>
        <v>0.69383912075418064</v>
      </c>
    </row>
    <row r="602" spans="1:8" x14ac:dyDescent="0.2">
      <c r="A602" s="6">
        <v>601</v>
      </c>
      <c r="B602" s="1" t="s">
        <v>11</v>
      </c>
      <c r="C602" s="1" t="s">
        <v>33</v>
      </c>
      <c r="D602" s="4">
        <v>0.15143305189940076</v>
      </c>
      <c r="E602" s="4">
        <v>0.35007364782298223</v>
      </c>
      <c r="F602" s="4">
        <v>0.24976660920145444</v>
      </c>
      <c r="H602" s="68">
        <f t="shared" si="9"/>
        <v>1.4016030763368497</v>
      </c>
    </row>
    <row r="603" spans="1:8" x14ac:dyDescent="0.2">
      <c r="A603" s="6">
        <v>602</v>
      </c>
      <c r="B603" s="1" t="s">
        <v>11</v>
      </c>
      <c r="C603" s="1" t="s">
        <v>60</v>
      </c>
      <c r="D603" s="4">
        <v>5355</v>
      </c>
      <c r="E603" s="4">
        <v>10703.9</v>
      </c>
      <c r="F603" s="4">
        <v>16058.9</v>
      </c>
      <c r="H603" s="68">
        <f t="shared" si="9"/>
        <v>0.66654004944298795</v>
      </c>
    </row>
    <row r="604" spans="1:8" x14ac:dyDescent="0.2">
      <c r="A604" s="6">
        <v>603</v>
      </c>
      <c r="B604" s="1" t="s">
        <v>11</v>
      </c>
      <c r="C604" s="1" t="s">
        <v>61</v>
      </c>
      <c r="D604" s="4">
        <v>2043</v>
      </c>
      <c r="E604" s="4">
        <v>1103.0999999999999</v>
      </c>
      <c r="F604" s="4">
        <v>3146.1</v>
      </c>
      <c r="H604" s="68">
        <f t="shared" si="9"/>
        <v>0.3506245828168208</v>
      </c>
    </row>
    <row r="605" spans="1:8" x14ac:dyDescent="0.2">
      <c r="A605" s="6">
        <v>604</v>
      </c>
      <c r="B605" s="1" t="s">
        <v>11</v>
      </c>
      <c r="C605" s="1" t="s">
        <v>62</v>
      </c>
      <c r="D605" s="4">
        <v>4340.7</v>
      </c>
      <c r="E605" s="4">
        <v>1368.8</v>
      </c>
      <c r="F605" s="4">
        <v>5709.5</v>
      </c>
      <c r="H605" s="68">
        <f t="shared" si="9"/>
        <v>0.23974078290568351</v>
      </c>
    </row>
    <row r="606" spans="1:8" x14ac:dyDescent="0.2">
      <c r="A606" s="6">
        <v>605</v>
      </c>
      <c r="B606" s="1" t="s">
        <v>11</v>
      </c>
      <c r="C606" s="1" t="s">
        <v>63</v>
      </c>
      <c r="D606" s="4">
        <v>0</v>
      </c>
      <c r="E606" s="4">
        <v>0</v>
      </c>
      <c r="F606" s="4">
        <v>0</v>
      </c>
      <c r="H606" s="68">
        <f t="shared" si="9"/>
        <v>0</v>
      </c>
    </row>
    <row r="607" spans="1:8" x14ac:dyDescent="0.2">
      <c r="A607" s="6">
        <v>606</v>
      </c>
      <c r="B607" s="1" t="s">
        <v>11</v>
      </c>
      <c r="C607" s="1" t="s">
        <v>64</v>
      </c>
      <c r="D607" s="4">
        <v>3337.4</v>
      </c>
      <c r="E607" s="4">
        <v>324.60000000000002</v>
      </c>
      <c r="F607" s="4">
        <v>3662</v>
      </c>
      <c r="H607" s="68">
        <f t="shared" si="9"/>
        <v>8.8640087383943203E-2</v>
      </c>
    </row>
    <row r="608" spans="1:8" x14ac:dyDescent="0.2">
      <c r="A608" s="7">
        <v>607</v>
      </c>
      <c r="B608" s="8" t="s">
        <v>11</v>
      </c>
      <c r="C608" s="8" t="s">
        <v>65</v>
      </c>
      <c r="D608" s="9">
        <v>15076.1</v>
      </c>
      <c r="E608" s="9">
        <v>13500.4</v>
      </c>
      <c r="F608" s="9">
        <v>28576.5</v>
      </c>
      <c r="H608" s="68">
        <f t="shared" si="9"/>
        <v>0.4724301436495022</v>
      </c>
    </row>
    <row r="609" spans="1:8" x14ac:dyDescent="0.2">
      <c r="A609" s="6">
        <v>608</v>
      </c>
      <c r="B609" s="1" t="s">
        <v>11</v>
      </c>
      <c r="C609" s="1" t="s">
        <v>33</v>
      </c>
      <c r="D609" s="4">
        <v>8.8314565538685386E-2</v>
      </c>
      <c r="E609" s="4">
        <v>8.0671405224364418E-2</v>
      </c>
      <c r="F609" s="4">
        <v>8.4530952530263895E-2</v>
      </c>
      <c r="H609" s="68">
        <f t="shared" si="9"/>
        <v>0.9543416087199813</v>
      </c>
    </row>
    <row r="610" spans="1:8" x14ac:dyDescent="0.2">
      <c r="A610" s="6">
        <v>609</v>
      </c>
      <c r="B610" s="1" t="s">
        <v>11</v>
      </c>
      <c r="C610" s="1" t="s">
        <v>66</v>
      </c>
      <c r="D610" s="4">
        <v>968.9</v>
      </c>
      <c r="E610" s="4">
        <v>0</v>
      </c>
      <c r="F610" s="4">
        <v>968.9</v>
      </c>
      <c r="H610" s="68">
        <f t="shared" si="9"/>
        <v>0</v>
      </c>
    </row>
    <row r="611" spans="1:8" x14ac:dyDescent="0.2">
      <c r="A611" s="6">
        <v>610</v>
      </c>
      <c r="B611" s="1" t="s">
        <v>11</v>
      </c>
      <c r="C611" s="1" t="s">
        <v>67</v>
      </c>
      <c r="D611" s="4">
        <v>2432.1</v>
      </c>
      <c r="E611" s="4">
        <v>308.7</v>
      </c>
      <c r="F611" s="4">
        <v>2740.7999999999997</v>
      </c>
      <c r="H611" s="68">
        <f t="shared" si="9"/>
        <v>0.11263134851138354</v>
      </c>
    </row>
    <row r="612" spans="1:8" x14ac:dyDescent="0.2">
      <c r="A612" s="6">
        <v>611</v>
      </c>
      <c r="B612" s="1" t="s">
        <v>11</v>
      </c>
      <c r="C612" s="1" t="s">
        <v>68</v>
      </c>
      <c r="D612" s="4">
        <v>5063.3999999999996</v>
      </c>
      <c r="E612" s="4">
        <v>2860.7</v>
      </c>
      <c r="F612" s="4">
        <v>7924.0999999999995</v>
      </c>
      <c r="H612" s="68">
        <f t="shared" si="9"/>
        <v>0.3610126071099557</v>
      </c>
    </row>
    <row r="613" spans="1:8" x14ac:dyDescent="0.2">
      <c r="A613" s="6">
        <v>612</v>
      </c>
      <c r="B613" s="1" t="s">
        <v>11</v>
      </c>
      <c r="C613" s="1" t="s">
        <v>69</v>
      </c>
      <c r="D613" s="4">
        <v>1016</v>
      </c>
      <c r="E613" s="4">
        <v>0</v>
      </c>
      <c r="F613" s="4">
        <v>1016</v>
      </c>
      <c r="H613" s="68">
        <f t="shared" si="9"/>
        <v>0</v>
      </c>
    </row>
    <row r="614" spans="1:8" x14ac:dyDescent="0.2">
      <c r="A614" s="6">
        <v>613</v>
      </c>
      <c r="B614" s="1" t="s">
        <v>11</v>
      </c>
      <c r="C614" s="1" t="s">
        <v>70</v>
      </c>
      <c r="D614" s="4">
        <v>4826.6000000000004</v>
      </c>
      <c r="E614" s="4">
        <v>1953.1</v>
      </c>
      <c r="F614" s="4">
        <v>6779.7000000000007</v>
      </c>
      <c r="H614" s="68">
        <f t="shared" si="9"/>
        <v>0.2880805935365871</v>
      </c>
    </row>
    <row r="615" spans="1:8" x14ac:dyDescent="0.2">
      <c r="A615" s="6">
        <v>614</v>
      </c>
      <c r="B615" s="1" t="s">
        <v>11</v>
      </c>
      <c r="C615" s="1" t="s">
        <v>71</v>
      </c>
      <c r="D615" s="4">
        <v>0</v>
      </c>
      <c r="E615" s="4">
        <v>0</v>
      </c>
      <c r="F615" s="4">
        <v>0</v>
      </c>
      <c r="H615" s="68">
        <f t="shared" si="9"/>
        <v>0</v>
      </c>
    </row>
    <row r="616" spans="1:8" x14ac:dyDescent="0.2">
      <c r="A616" s="6">
        <v>615</v>
      </c>
      <c r="B616" s="1" t="s">
        <v>11</v>
      </c>
      <c r="C616" s="1" t="s">
        <v>72</v>
      </c>
      <c r="D616" s="4">
        <v>945.7</v>
      </c>
      <c r="E616" s="4">
        <v>0</v>
      </c>
      <c r="F616" s="4">
        <v>945.7</v>
      </c>
      <c r="H616" s="68">
        <f t="shared" si="9"/>
        <v>0</v>
      </c>
    </row>
    <row r="617" spans="1:8" x14ac:dyDescent="0.2">
      <c r="A617" s="6">
        <v>616</v>
      </c>
      <c r="B617" s="1" t="s">
        <v>11</v>
      </c>
      <c r="C617" s="1" t="s">
        <v>73</v>
      </c>
      <c r="D617" s="4">
        <v>399.4</v>
      </c>
      <c r="E617" s="4">
        <v>1763.8</v>
      </c>
      <c r="F617" s="4">
        <v>2163.1999999999998</v>
      </c>
      <c r="H617" s="68">
        <f t="shared" si="9"/>
        <v>0.81536612426035504</v>
      </c>
    </row>
    <row r="618" spans="1:8" x14ac:dyDescent="0.2">
      <c r="A618" s="6">
        <v>617</v>
      </c>
      <c r="B618" s="1" t="s">
        <v>11</v>
      </c>
      <c r="C618" s="1" t="s">
        <v>74</v>
      </c>
      <c r="D618" s="4">
        <v>3963.9</v>
      </c>
      <c r="E618" s="4">
        <v>89</v>
      </c>
      <c r="F618" s="4">
        <v>4052.9</v>
      </c>
      <c r="H618" s="68">
        <f t="shared" si="9"/>
        <v>2.1959584495052923E-2</v>
      </c>
    </row>
    <row r="619" spans="1:8" x14ac:dyDescent="0.2">
      <c r="A619" s="6">
        <v>618</v>
      </c>
      <c r="B619" s="1" t="s">
        <v>11</v>
      </c>
      <c r="C619" s="1" t="s">
        <v>75</v>
      </c>
      <c r="D619" s="4">
        <v>311</v>
      </c>
      <c r="E619" s="4">
        <v>0</v>
      </c>
      <c r="F619" s="4">
        <v>311</v>
      </c>
      <c r="H619" s="68">
        <f t="shared" si="9"/>
        <v>0</v>
      </c>
    </row>
    <row r="620" spans="1:8" x14ac:dyDescent="0.2">
      <c r="A620" s="6">
        <v>619</v>
      </c>
      <c r="B620" s="1" t="s">
        <v>11</v>
      </c>
      <c r="C620" s="1" t="s">
        <v>76</v>
      </c>
      <c r="D620" s="4">
        <v>335.1</v>
      </c>
      <c r="E620" s="4">
        <v>0</v>
      </c>
      <c r="F620" s="4">
        <v>335.1</v>
      </c>
      <c r="H620" s="68">
        <f t="shared" si="9"/>
        <v>0</v>
      </c>
    </row>
    <row r="621" spans="1:8" x14ac:dyDescent="0.2">
      <c r="A621" s="6">
        <v>620</v>
      </c>
      <c r="B621" s="1" t="s">
        <v>11</v>
      </c>
      <c r="C621" s="1" t="s">
        <v>77</v>
      </c>
      <c r="D621" s="4">
        <v>0</v>
      </c>
      <c r="E621" s="4">
        <v>16.5</v>
      </c>
      <c r="F621" s="4">
        <v>16.5</v>
      </c>
      <c r="H621" s="68">
        <f t="shared" si="9"/>
        <v>1</v>
      </c>
    </row>
    <row r="622" spans="1:8" x14ac:dyDescent="0.2">
      <c r="A622" s="6">
        <v>621</v>
      </c>
      <c r="B622" s="1" t="s">
        <v>11</v>
      </c>
      <c r="C622" s="1" t="s">
        <v>78</v>
      </c>
      <c r="D622" s="4">
        <v>335.8</v>
      </c>
      <c r="E622" s="4">
        <v>43.5</v>
      </c>
      <c r="F622" s="4">
        <v>379.3</v>
      </c>
      <c r="H622" s="68">
        <f t="shared" si="9"/>
        <v>0.11468494595307144</v>
      </c>
    </row>
    <row r="623" spans="1:8" x14ac:dyDescent="0.2">
      <c r="A623" s="7">
        <v>622</v>
      </c>
      <c r="B623" s="8" t="s">
        <v>11</v>
      </c>
      <c r="C623" s="8" t="s">
        <v>79</v>
      </c>
      <c r="D623" s="9">
        <v>20597.899999999998</v>
      </c>
      <c r="E623" s="9">
        <v>7035.3</v>
      </c>
      <c r="F623" s="9">
        <v>27633.199999999997</v>
      </c>
      <c r="H623" s="68">
        <f t="shared" si="9"/>
        <v>0.25459592084883403</v>
      </c>
    </row>
    <row r="624" spans="1:8" x14ac:dyDescent="0.2">
      <c r="A624" s="6">
        <v>623</v>
      </c>
      <c r="B624" s="1" t="s">
        <v>11</v>
      </c>
      <c r="C624" s="1" t="s">
        <v>33</v>
      </c>
      <c r="D624" s="4">
        <v>0.12066082007344654</v>
      </c>
      <c r="E624" s="4">
        <v>4.2039312699991928E-2</v>
      </c>
      <c r="F624" s="4">
        <v>8.1740616151708162E-2</v>
      </c>
      <c r="H624" s="68">
        <f t="shared" si="9"/>
        <v>0.51430139236983741</v>
      </c>
    </row>
    <row r="625" spans="1:8" x14ac:dyDescent="0.2">
      <c r="A625" s="6">
        <v>624</v>
      </c>
      <c r="B625" s="1" t="s">
        <v>11</v>
      </c>
      <c r="C625" s="1" t="s">
        <v>80</v>
      </c>
      <c r="D625" s="4">
        <v>0</v>
      </c>
      <c r="E625" s="4">
        <v>23355.5</v>
      </c>
      <c r="F625" s="4">
        <v>23355.5</v>
      </c>
      <c r="H625" s="68">
        <f t="shared" si="9"/>
        <v>1</v>
      </c>
    </row>
    <row r="626" spans="1:8" x14ac:dyDescent="0.2">
      <c r="A626" s="6">
        <v>625</v>
      </c>
      <c r="B626" s="1" t="s">
        <v>11</v>
      </c>
      <c r="C626" s="1" t="s">
        <v>81</v>
      </c>
      <c r="D626" s="4">
        <v>0</v>
      </c>
      <c r="E626" s="4">
        <v>7713</v>
      </c>
      <c r="F626" s="4">
        <v>7713</v>
      </c>
      <c r="H626" s="68">
        <f t="shared" si="9"/>
        <v>1</v>
      </c>
    </row>
    <row r="627" spans="1:8" x14ac:dyDescent="0.2">
      <c r="A627" s="6">
        <v>626</v>
      </c>
      <c r="B627" s="1" t="s">
        <v>11</v>
      </c>
      <c r="C627" s="1" t="s">
        <v>82</v>
      </c>
      <c r="D627" s="4">
        <v>0</v>
      </c>
      <c r="E627" s="4">
        <v>4139</v>
      </c>
      <c r="F627" s="4">
        <v>4139</v>
      </c>
      <c r="H627" s="68">
        <f t="shared" si="9"/>
        <v>1</v>
      </c>
    </row>
    <row r="628" spans="1:8" x14ac:dyDescent="0.2">
      <c r="A628" s="6">
        <v>627</v>
      </c>
      <c r="B628" s="1" t="s">
        <v>11</v>
      </c>
      <c r="C628" s="1" t="s">
        <v>83</v>
      </c>
      <c r="D628" s="4">
        <v>0</v>
      </c>
      <c r="E628" s="4">
        <v>4529.3999999999996</v>
      </c>
      <c r="F628" s="4">
        <v>4529.3999999999996</v>
      </c>
      <c r="H628" s="68">
        <f t="shared" si="9"/>
        <v>1</v>
      </c>
    </row>
    <row r="629" spans="1:8" x14ac:dyDescent="0.2">
      <c r="A629" s="6">
        <v>628</v>
      </c>
      <c r="B629" s="1" t="s">
        <v>11</v>
      </c>
      <c r="C629" s="1" t="s">
        <v>84</v>
      </c>
      <c r="D629" s="4">
        <v>0</v>
      </c>
      <c r="E629" s="4">
        <v>4144.6000000000004</v>
      </c>
      <c r="F629" s="4">
        <v>4144.6000000000004</v>
      </c>
      <c r="H629" s="68">
        <f t="shared" si="9"/>
        <v>1</v>
      </c>
    </row>
    <row r="630" spans="1:8" x14ac:dyDescent="0.2">
      <c r="A630" s="6">
        <v>629</v>
      </c>
      <c r="B630" s="1" t="s">
        <v>11</v>
      </c>
      <c r="C630" s="1" t="s">
        <v>85</v>
      </c>
      <c r="D630" s="4">
        <v>0</v>
      </c>
      <c r="E630" s="4">
        <v>0</v>
      </c>
      <c r="F630" s="4">
        <v>0</v>
      </c>
      <c r="H630" s="68">
        <f t="shared" si="9"/>
        <v>0</v>
      </c>
    </row>
    <row r="631" spans="1:8" x14ac:dyDescent="0.2">
      <c r="A631" s="7">
        <v>630</v>
      </c>
      <c r="B631" s="8" t="s">
        <v>11</v>
      </c>
      <c r="C631" s="8" t="s">
        <v>86</v>
      </c>
      <c r="D631" s="9">
        <v>0</v>
      </c>
      <c r="E631" s="9">
        <v>43881.5</v>
      </c>
      <c r="F631" s="9">
        <v>43881.5</v>
      </c>
      <c r="H631" s="68">
        <f t="shared" si="9"/>
        <v>1</v>
      </c>
    </row>
    <row r="632" spans="1:8" x14ac:dyDescent="0.2">
      <c r="A632" s="6">
        <v>631</v>
      </c>
      <c r="B632" s="1" t="s">
        <v>11</v>
      </c>
      <c r="C632" s="1" t="s">
        <v>33</v>
      </c>
      <c r="D632" s="4">
        <v>0</v>
      </c>
      <c r="E632" s="4">
        <v>0.26221313948867792</v>
      </c>
      <c r="F632" s="4">
        <v>0.12980403455485365</v>
      </c>
      <c r="H632" s="68">
        <f t="shared" si="9"/>
        <v>2.0200692558432745</v>
      </c>
    </row>
    <row r="633" spans="1:8" x14ac:dyDescent="0.2">
      <c r="A633" s="6">
        <v>632</v>
      </c>
      <c r="B633" s="1" t="s">
        <v>11</v>
      </c>
      <c r="C633" s="1" t="s">
        <v>87</v>
      </c>
      <c r="D633" s="4">
        <v>0</v>
      </c>
      <c r="E633" s="4">
        <v>506.3</v>
      </c>
      <c r="F633" s="4">
        <v>506.3</v>
      </c>
      <c r="H633" s="68">
        <f t="shared" si="9"/>
        <v>1</v>
      </c>
    </row>
    <row r="634" spans="1:8" x14ac:dyDescent="0.2">
      <c r="A634" s="6">
        <v>633</v>
      </c>
      <c r="B634" s="1" t="s">
        <v>11</v>
      </c>
      <c r="C634" s="1" t="s">
        <v>88</v>
      </c>
      <c r="D634" s="4">
        <v>0</v>
      </c>
      <c r="E634" s="4">
        <v>0</v>
      </c>
      <c r="F634" s="4">
        <v>0</v>
      </c>
      <c r="H634" s="68">
        <f t="shared" si="9"/>
        <v>0</v>
      </c>
    </row>
    <row r="635" spans="1:8" x14ac:dyDescent="0.2">
      <c r="A635" s="7">
        <v>634</v>
      </c>
      <c r="B635" s="8" t="s">
        <v>11</v>
      </c>
      <c r="C635" s="8" t="s">
        <v>89</v>
      </c>
      <c r="D635" s="9">
        <v>0</v>
      </c>
      <c r="E635" s="9">
        <v>506.3</v>
      </c>
      <c r="F635" s="9">
        <v>506.3</v>
      </c>
      <c r="H635" s="68">
        <f t="shared" si="9"/>
        <v>1</v>
      </c>
    </row>
    <row r="636" spans="1:8" x14ac:dyDescent="0.2">
      <c r="A636" s="6">
        <v>635</v>
      </c>
      <c r="B636" s="1" t="s">
        <v>11</v>
      </c>
      <c r="C636" s="1" t="s">
        <v>33</v>
      </c>
      <c r="D636" s="4">
        <v>0</v>
      </c>
      <c r="E636" s="4">
        <v>3.0253868378044878E-3</v>
      </c>
      <c r="F636" s="4">
        <v>1.497664908791231E-3</v>
      </c>
      <c r="H636" s="68">
        <f t="shared" si="9"/>
        <v>2.0200692558432749</v>
      </c>
    </row>
    <row r="637" spans="1:8" x14ac:dyDescent="0.2">
      <c r="A637" s="6">
        <v>636</v>
      </c>
      <c r="B637" s="1" t="s">
        <v>11</v>
      </c>
      <c r="C637" s="1" t="s">
        <v>90</v>
      </c>
      <c r="D637" s="4">
        <v>1724.1</v>
      </c>
      <c r="E637" s="4">
        <v>417.6</v>
      </c>
      <c r="F637" s="4">
        <v>2141.6999999999998</v>
      </c>
      <c r="H637" s="68">
        <f t="shared" si="9"/>
        <v>0.1949852920577112</v>
      </c>
    </row>
    <row r="638" spans="1:8" x14ac:dyDescent="0.2">
      <c r="A638" s="6">
        <v>637</v>
      </c>
      <c r="B638" s="1" t="s">
        <v>11</v>
      </c>
      <c r="C638" s="1" t="s">
        <v>33</v>
      </c>
      <c r="D638" s="4">
        <v>1.0099637336263852E-2</v>
      </c>
      <c r="E638" s="4">
        <v>2.4953615316356983E-3</v>
      </c>
      <c r="F638" s="4">
        <v>6.3352734251593502E-3</v>
      </c>
      <c r="H638" s="68">
        <f t="shared" si="9"/>
        <v>0.39388379382740418</v>
      </c>
    </row>
    <row r="639" spans="1:8" x14ac:dyDescent="0.2">
      <c r="A639" s="6">
        <v>638</v>
      </c>
      <c r="B639" s="1" t="s">
        <v>11</v>
      </c>
      <c r="C639" s="1" t="s">
        <v>91</v>
      </c>
      <c r="D639" s="4">
        <v>1925.6</v>
      </c>
      <c r="E639" s="4">
        <v>131.19999999999999</v>
      </c>
      <c r="F639" s="4">
        <v>2056.7999999999997</v>
      </c>
      <c r="H639" s="68">
        <f t="shared" si="9"/>
        <v>6.378840917930767E-2</v>
      </c>
    </row>
    <row r="640" spans="1:8" x14ac:dyDescent="0.2">
      <c r="A640" s="6">
        <v>639</v>
      </c>
      <c r="B640" s="1" t="s">
        <v>11</v>
      </c>
      <c r="C640" s="1" t="s">
        <v>33</v>
      </c>
      <c r="D640" s="4">
        <v>1.1280007919905849E-2</v>
      </c>
      <c r="E640" s="4">
        <v>7.8398331645259485E-4</v>
      </c>
      <c r="F640" s="4">
        <v>6.0841342769144841E-3</v>
      </c>
      <c r="H640" s="68">
        <f t="shared" si="9"/>
        <v>0.12885700426227034</v>
      </c>
    </row>
    <row r="641" spans="1:8" x14ac:dyDescent="0.2">
      <c r="A641" s="10">
        <v>640</v>
      </c>
      <c r="B641" s="11" t="s">
        <v>11</v>
      </c>
      <c r="C641" s="11" t="s">
        <v>2</v>
      </c>
      <c r="D641" s="12">
        <v>170709.10000000003</v>
      </c>
      <c r="E641" s="12">
        <v>167350.50000000003</v>
      </c>
      <c r="F641" s="12">
        <v>338059.6</v>
      </c>
      <c r="H641" s="68">
        <f t="shared" si="9"/>
        <v>0.49503253272499892</v>
      </c>
    </row>
    <row r="642" spans="1:8" x14ac:dyDescent="0.2">
      <c r="A642" s="6">
        <v>641</v>
      </c>
      <c r="B642" s="1" t="s">
        <v>92</v>
      </c>
      <c r="C642" s="1" t="s">
        <v>23</v>
      </c>
      <c r="D642" s="4">
        <v>10326.6</v>
      </c>
      <c r="E642" s="4">
        <v>26137.4</v>
      </c>
      <c r="F642" s="4">
        <v>36464</v>
      </c>
      <c r="H642" s="68">
        <f t="shared" si="9"/>
        <v>0.71680013163668277</v>
      </c>
    </row>
    <row r="643" spans="1:8" x14ac:dyDescent="0.2">
      <c r="A643" s="6">
        <v>642</v>
      </c>
      <c r="B643" s="1" t="s">
        <v>92</v>
      </c>
      <c r="C643" s="1" t="s">
        <v>24</v>
      </c>
      <c r="D643" s="4">
        <v>0</v>
      </c>
      <c r="E643" s="4">
        <v>0</v>
      </c>
      <c r="F643" s="4">
        <v>0</v>
      </c>
      <c r="H643" s="68">
        <f t="shared" ref="H643:H706" si="10">IFERROR(E643/F643,0)</f>
        <v>0</v>
      </c>
    </row>
    <row r="644" spans="1:8" x14ac:dyDescent="0.2">
      <c r="A644" s="6">
        <v>643</v>
      </c>
      <c r="B644" s="1" t="s">
        <v>92</v>
      </c>
      <c r="C644" s="1" t="s">
        <v>25</v>
      </c>
      <c r="D644" s="4">
        <v>732.7</v>
      </c>
      <c r="E644" s="4">
        <v>5.7</v>
      </c>
      <c r="F644" s="4">
        <v>738.40000000000009</v>
      </c>
      <c r="H644" s="68">
        <f t="shared" si="10"/>
        <v>7.7193932827735639E-3</v>
      </c>
    </row>
    <row r="645" spans="1:8" x14ac:dyDescent="0.2">
      <c r="A645" s="6">
        <v>644</v>
      </c>
      <c r="B645" s="1" t="s">
        <v>92</v>
      </c>
      <c r="C645" s="1" t="s">
        <v>26</v>
      </c>
      <c r="D645" s="4">
        <v>4429.1000000000004</v>
      </c>
      <c r="E645" s="4">
        <v>1387</v>
      </c>
      <c r="F645" s="4">
        <v>5816.1</v>
      </c>
      <c r="H645" s="68">
        <f t="shared" si="10"/>
        <v>0.23847595467753305</v>
      </c>
    </row>
    <row r="646" spans="1:8" x14ac:dyDescent="0.2">
      <c r="A646" s="6">
        <v>645</v>
      </c>
      <c r="B646" s="1" t="s">
        <v>92</v>
      </c>
      <c r="C646" s="1" t="s">
        <v>27</v>
      </c>
      <c r="D646" s="4">
        <v>243.6</v>
      </c>
      <c r="E646" s="4">
        <v>0</v>
      </c>
      <c r="F646" s="4">
        <v>243.6</v>
      </c>
      <c r="H646" s="68">
        <f t="shared" si="10"/>
        <v>0</v>
      </c>
    </row>
    <row r="647" spans="1:8" x14ac:dyDescent="0.2">
      <c r="A647" s="6">
        <v>646</v>
      </c>
      <c r="B647" s="1" t="s">
        <v>92</v>
      </c>
      <c r="C647" s="1" t="s">
        <v>28</v>
      </c>
      <c r="D647" s="4">
        <v>487.7</v>
      </c>
      <c r="E647" s="4">
        <v>0</v>
      </c>
      <c r="F647" s="4">
        <v>487.7</v>
      </c>
      <c r="H647" s="68">
        <f t="shared" si="10"/>
        <v>0</v>
      </c>
    </row>
    <row r="648" spans="1:8" x14ac:dyDescent="0.2">
      <c r="A648" s="6">
        <v>647</v>
      </c>
      <c r="B648" s="1" t="s">
        <v>92</v>
      </c>
      <c r="C648" s="1" t="s">
        <v>29</v>
      </c>
      <c r="D648" s="4">
        <v>654.1</v>
      </c>
      <c r="E648" s="4">
        <v>0</v>
      </c>
      <c r="F648" s="4">
        <v>654.1</v>
      </c>
      <c r="H648" s="68">
        <f t="shared" si="10"/>
        <v>0</v>
      </c>
    </row>
    <row r="649" spans="1:8" x14ac:dyDescent="0.2">
      <c r="A649" s="6">
        <v>648</v>
      </c>
      <c r="B649" s="1" t="s">
        <v>92</v>
      </c>
      <c r="C649" s="1" t="s">
        <v>30</v>
      </c>
      <c r="D649" s="4">
        <v>4858.1000000000004</v>
      </c>
      <c r="E649" s="4">
        <v>3685.4</v>
      </c>
      <c r="F649" s="4">
        <v>8543.5</v>
      </c>
      <c r="H649" s="68">
        <f t="shared" si="10"/>
        <v>0.4313688769239773</v>
      </c>
    </row>
    <row r="650" spans="1:8" x14ac:dyDescent="0.2">
      <c r="A650" s="6">
        <v>649</v>
      </c>
      <c r="B650" s="1" t="s">
        <v>92</v>
      </c>
      <c r="C650" s="1" t="s">
        <v>31</v>
      </c>
      <c r="D650" s="4">
        <v>4648.3999999999996</v>
      </c>
      <c r="E650" s="4">
        <v>10677.7</v>
      </c>
      <c r="F650" s="4">
        <v>15326.1</v>
      </c>
      <c r="H650" s="68">
        <f t="shared" si="10"/>
        <v>0.69670039997129085</v>
      </c>
    </row>
    <row r="651" spans="1:8" x14ac:dyDescent="0.2">
      <c r="A651" s="7">
        <v>650</v>
      </c>
      <c r="B651" s="8" t="s">
        <v>92</v>
      </c>
      <c r="C651" s="8" t="s">
        <v>32</v>
      </c>
      <c r="D651" s="9">
        <v>26380.300000000003</v>
      </c>
      <c r="E651" s="9">
        <v>41893.200000000004</v>
      </c>
      <c r="F651" s="9">
        <v>68273.5</v>
      </c>
      <c r="H651" s="68">
        <f t="shared" si="10"/>
        <v>0.61360850110218468</v>
      </c>
    </row>
    <row r="652" spans="1:8" x14ac:dyDescent="0.2">
      <c r="A652" s="6">
        <v>651</v>
      </c>
      <c r="B652" s="1" t="s">
        <v>92</v>
      </c>
      <c r="C652" s="1" t="s">
        <v>33</v>
      </c>
      <c r="D652" s="4">
        <v>0.48770851705388957</v>
      </c>
      <c r="E652" s="4">
        <v>0.21951852141019793</v>
      </c>
      <c r="F652" s="4">
        <v>0.27874516803875038</v>
      </c>
      <c r="H652" s="68">
        <f t="shared" si="10"/>
        <v>0.78752404195821279</v>
      </c>
    </row>
    <row r="653" spans="1:8" x14ac:dyDescent="0.2">
      <c r="A653" s="6">
        <v>652</v>
      </c>
      <c r="B653" s="1" t="s">
        <v>92</v>
      </c>
      <c r="C653" s="1" t="s">
        <v>34</v>
      </c>
      <c r="D653" s="4">
        <v>1315.7</v>
      </c>
      <c r="E653" s="4">
        <v>600.9</v>
      </c>
      <c r="F653" s="4">
        <v>1916.6</v>
      </c>
      <c r="H653" s="68">
        <f t="shared" si="10"/>
        <v>0.31352394865908378</v>
      </c>
    </row>
    <row r="654" spans="1:8" x14ac:dyDescent="0.2">
      <c r="A654" s="6">
        <v>653</v>
      </c>
      <c r="B654" s="1" t="s">
        <v>92</v>
      </c>
      <c r="C654" s="1" t="s">
        <v>35</v>
      </c>
      <c r="D654" s="4">
        <v>555.6</v>
      </c>
      <c r="E654" s="4">
        <v>5824.6</v>
      </c>
      <c r="F654" s="4">
        <v>6380.2000000000007</v>
      </c>
      <c r="H654" s="68">
        <f t="shared" si="10"/>
        <v>0.91291809034199545</v>
      </c>
    </row>
    <row r="655" spans="1:8" x14ac:dyDescent="0.2">
      <c r="A655" s="6">
        <v>654</v>
      </c>
      <c r="B655" s="1" t="s">
        <v>92</v>
      </c>
      <c r="C655" s="1" t="s">
        <v>36</v>
      </c>
      <c r="D655" s="4">
        <v>0</v>
      </c>
      <c r="E655" s="4">
        <v>0</v>
      </c>
      <c r="F655" s="4">
        <v>0</v>
      </c>
      <c r="H655" s="68">
        <f t="shared" si="10"/>
        <v>0</v>
      </c>
    </row>
    <row r="656" spans="1:8" x14ac:dyDescent="0.2">
      <c r="A656" s="6">
        <v>655</v>
      </c>
      <c r="B656" s="1" t="s">
        <v>92</v>
      </c>
      <c r="C656" s="1" t="s">
        <v>37</v>
      </c>
      <c r="D656" s="4">
        <v>898</v>
      </c>
      <c r="E656" s="4">
        <v>2189.4</v>
      </c>
      <c r="F656" s="4">
        <v>3087.4</v>
      </c>
      <c r="H656" s="68">
        <f t="shared" si="10"/>
        <v>0.70914037701625965</v>
      </c>
    </row>
    <row r="657" spans="1:8" x14ac:dyDescent="0.2">
      <c r="A657" s="7">
        <v>656</v>
      </c>
      <c r="B657" s="8" t="s">
        <v>92</v>
      </c>
      <c r="C657" s="8" t="s">
        <v>38</v>
      </c>
      <c r="D657" s="9">
        <v>2769.3</v>
      </c>
      <c r="E657" s="9">
        <v>8614.9</v>
      </c>
      <c r="F657" s="9">
        <v>11384.2</v>
      </c>
      <c r="H657" s="68">
        <f t="shared" si="10"/>
        <v>0.75674180003864999</v>
      </c>
    </row>
    <row r="658" spans="1:8" x14ac:dyDescent="0.2">
      <c r="A658" s="6">
        <v>657</v>
      </c>
      <c r="B658" s="1" t="s">
        <v>92</v>
      </c>
      <c r="C658" s="1" t="s">
        <v>33</v>
      </c>
      <c r="D658" s="4">
        <v>5.1197719369276931E-2</v>
      </c>
      <c r="E658" s="4">
        <v>4.5141696268050993E-2</v>
      </c>
      <c r="F658" s="4">
        <v>4.64790986544815E-2</v>
      </c>
      <c r="H658" s="68">
        <f t="shared" si="10"/>
        <v>0.97122572456982115</v>
      </c>
    </row>
    <row r="659" spans="1:8" x14ac:dyDescent="0.2">
      <c r="A659" s="6">
        <v>658</v>
      </c>
      <c r="B659" s="1" t="s">
        <v>92</v>
      </c>
      <c r="C659" s="1" t="s">
        <v>39</v>
      </c>
      <c r="D659" s="4">
        <v>0</v>
      </c>
      <c r="E659" s="4">
        <v>0</v>
      </c>
      <c r="F659" s="4">
        <v>0</v>
      </c>
      <c r="H659" s="68">
        <f t="shared" si="10"/>
        <v>0</v>
      </c>
    </row>
    <row r="660" spans="1:8" x14ac:dyDescent="0.2">
      <c r="A660" s="6">
        <v>659</v>
      </c>
      <c r="B660" s="1" t="s">
        <v>92</v>
      </c>
      <c r="C660" s="1" t="s">
        <v>40</v>
      </c>
      <c r="D660" s="4">
        <v>40.1</v>
      </c>
      <c r="E660" s="4">
        <v>4116.8</v>
      </c>
      <c r="F660" s="4">
        <v>4156.9000000000005</v>
      </c>
      <c r="H660" s="68">
        <f t="shared" si="10"/>
        <v>0.99035338834227415</v>
      </c>
    </row>
    <row r="661" spans="1:8" x14ac:dyDescent="0.2">
      <c r="A661" s="6">
        <v>660</v>
      </c>
      <c r="B661" s="1" t="s">
        <v>92</v>
      </c>
      <c r="C661" s="1" t="s">
        <v>41</v>
      </c>
      <c r="D661" s="4">
        <v>0</v>
      </c>
      <c r="E661" s="4">
        <v>0</v>
      </c>
      <c r="F661" s="4">
        <v>0</v>
      </c>
      <c r="H661" s="68">
        <f t="shared" si="10"/>
        <v>0</v>
      </c>
    </row>
    <row r="662" spans="1:8" x14ac:dyDescent="0.2">
      <c r="A662" s="6">
        <v>661</v>
      </c>
      <c r="B662" s="1" t="s">
        <v>92</v>
      </c>
      <c r="C662" s="1" t="s">
        <v>42</v>
      </c>
      <c r="D662" s="4">
        <v>1551.8</v>
      </c>
      <c r="E662" s="4">
        <v>18482.7</v>
      </c>
      <c r="F662" s="4">
        <v>20034.5</v>
      </c>
      <c r="H662" s="68">
        <f t="shared" si="10"/>
        <v>0.9225436122688363</v>
      </c>
    </row>
    <row r="663" spans="1:8" x14ac:dyDescent="0.2">
      <c r="A663" s="6">
        <v>662</v>
      </c>
      <c r="B663" s="1" t="s">
        <v>92</v>
      </c>
      <c r="C663" s="1" t="s">
        <v>43</v>
      </c>
      <c r="D663" s="4">
        <v>0</v>
      </c>
      <c r="E663" s="4">
        <v>0</v>
      </c>
      <c r="F663" s="4">
        <v>0</v>
      </c>
      <c r="H663" s="68">
        <f t="shared" si="10"/>
        <v>0</v>
      </c>
    </row>
    <row r="664" spans="1:8" x14ac:dyDescent="0.2">
      <c r="A664" s="6">
        <v>663</v>
      </c>
      <c r="B664" s="1" t="s">
        <v>92</v>
      </c>
      <c r="C664" s="1" t="s">
        <v>44</v>
      </c>
      <c r="D664" s="4">
        <v>744.1</v>
      </c>
      <c r="E664" s="4">
        <v>2704.6</v>
      </c>
      <c r="F664" s="4">
        <v>3448.7</v>
      </c>
      <c r="H664" s="68">
        <f t="shared" si="10"/>
        <v>0.78423753878272973</v>
      </c>
    </row>
    <row r="665" spans="1:8" x14ac:dyDescent="0.2">
      <c r="A665" s="7">
        <v>664</v>
      </c>
      <c r="B665" s="8" t="s">
        <v>92</v>
      </c>
      <c r="C665" s="8" t="s">
        <v>45</v>
      </c>
      <c r="D665" s="9">
        <v>2336</v>
      </c>
      <c r="E665" s="9">
        <v>25304.1</v>
      </c>
      <c r="F665" s="9">
        <v>27640.1</v>
      </c>
      <c r="H665" s="68">
        <f t="shared" si="10"/>
        <v>0.91548511040119251</v>
      </c>
    </row>
    <row r="666" spans="1:8" x14ac:dyDescent="0.2">
      <c r="A666" s="6">
        <v>665</v>
      </c>
      <c r="B666" s="1" t="s">
        <v>92</v>
      </c>
      <c r="C666" s="1" t="s">
        <v>33</v>
      </c>
      <c r="D666" s="4">
        <v>4.3187040929704587E-2</v>
      </c>
      <c r="E666" s="4">
        <v>0.13259236863299506</v>
      </c>
      <c r="F666" s="4">
        <v>0.11284824008008766</v>
      </c>
      <c r="H666" s="68">
        <f t="shared" si="10"/>
        <v>1.1749617764432581</v>
      </c>
    </row>
    <row r="667" spans="1:8" x14ac:dyDescent="0.2">
      <c r="A667" s="6">
        <v>666</v>
      </c>
      <c r="B667" s="1" t="s">
        <v>92</v>
      </c>
      <c r="C667" s="1" t="s">
        <v>46</v>
      </c>
      <c r="D667" s="4">
        <v>331.3</v>
      </c>
      <c r="E667" s="4">
        <v>0</v>
      </c>
      <c r="F667" s="4">
        <v>331.3</v>
      </c>
      <c r="H667" s="68">
        <f t="shared" si="10"/>
        <v>0</v>
      </c>
    </row>
    <row r="668" spans="1:8" x14ac:dyDescent="0.2">
      <c r="A668" s="6">
        <v>667</v>
      </c>
      <c r="B668" s="1" t="s">
        <v>92</v>
      </c>
      <c r="C668" s="1" t="s">
        <v>47</v>
      </c>
      <c r="D668" s="4">
        <v>1895</v>
      </c>
      <c r="E668" s="4">
        <v>3.7</v>
      </c>
      <c r="F668" s="4">
        <v>1898.7</v>
      </c>
      <c r="H668" s="68">
        <f t="shared" si="10"/>
        <v>1.9487017432980461E-3</v>
      </c>
    </row>
    <row r="669" spans="1:8" x14ac:dyDescent="0.2">
      <c r="A669" s="6">
        <v>668</v>
      </c>
      <c r="B669" s="1" t="s">
        <v>92</v>
      </c>
      <c r="C669" s="1" t="s">
        <v>48</v>
      </c>
      <c r="D669" s="4">
        <v>0</v>
      </c>
      <c r="E669" s="4">
        <v>0</v>
      </c>
      <c r="F669" s="4">
        <v>0</v>
      </c>
      <c r="H669" s="68">
        <f t="shared" si="10"/>
        <v>0</v>
      </c>
    </row>
    <row r="670" spans="1:8" x14ac:dyDescent="0.2">
      <c r="A670" s="6">
        <v>669</v>
      </c>
      <c r="B670" s="1" t="s">
        <v>92</v>
      </c>
      <c r="C670" s="1" t="s">
        <v>49</v>
      </c>
      <c r="D670" s="4">
        <v>2104.1</v>
      </c>
      <c r="E670" s="4">
        <v>92859.599999999991</v>
      </c>
      <c r="F670" s="4">
        <v>94963.7</v>
      </c>
      <c r="H670" s="68">
        <f t="shared" si="10"/>
        <v>0.97784311268410973</v>
      </c>
    </row>
    <row r="671" spans="1:8" x14ac:dyDescent="0.2">
      <c r="A671" s="6">
        <v>670</v>
      </c>
      <c r="B671" s="1" t="s">
        <v>92</v>
      </c>
      <c r="C671" s="1" t="s">
        <v>50</v>
      </c>
      <c r="D671" s="4">
        <v>2567.8000000000002</v>
      </c>
      <c r="E671" s="4">
        <v>2734.5</v>
      </c>
      <c r="F671" s="4">
        <v>5302.3</v>
      </c>
      <c r="H671" s="68">
        <f t="shared" si="10"/>
        <v>0.51571959338400319</v>
      </c>
    </row>
    <row r="672" spans="1:8" x14ac:dyDescent="0.2">
      <c r="A672" s="7">
        <v>671</v>
      </c>
      <c r="B672" s="8" t="s">
        <v>92</v>
      </c>
      <c r="C672" s="8" t="s">
        <v>51</v>
      </c>
      <c r="D672" s="9">
        <v>6898.2</v>
      </c>
      <c r="E672" s="9">
        <v>95597.799999999988</v>
      </c>
      <c r="F672" s="9">
        <v>102495.99999999999</v>
      </c>
      <c r="H672" s="68">
        <f t="shared" si="10"/>
        <v>0.93269786137995636</v>
      </c>
    </row>
    <row r="673" spans="1:8" x14ac:dyDescent="0.2">
      <c r="A673" s="6">
        <v>672</v>
      </c>
      <c r="B673" s="1" t="s">
        <v>92</v>
      </c>
      <c r="C673" s="1" t="s">
        <v>33</v>
      </c>
      <c r="D673" s="4">
        <v>0.12753118396459254</v>
      </c>
      <c r="E673" s="4">
        <v>0.50092825819149212</v>
      </c>
      <c r="F673" s="4">
        <v>0.41846784979969909</v>
      </c>
      <c r="H673" s="68">
        <f t="shared" si="10"/>
        <v>1.1970531509917977</v>
      </c>
    </row>
    <row r="674" spans="1:8" x14ac:dyDescent="0.2">
      <c r="A674" s="6">
        <v>673</v>
      </c>
      <c r="B674" s="1" t="s">
        <v>92</v>
      </c>
      <c r="C674" s="1" t="s">
        <v>52</v>
      </c>
      <c r="D674" s="4">
        <v>0</v>
      </c>
      <c r="E674" s="4">
        <v>0</v>
      </c>
      <c r="F674" s="4">
        <v>0</v>
      </c>
      <c r="H674" s="68">
        <f t="shared" si="10"/>
        <v>0</v>
      </c>
    </row>
    <row r="675" spans="1:8" x14ac:dyDescent="0.2">
      <c r="A675" s="6">
        <v>674</v>
      </c>
      <c r="B675" s="1" t="s">
        <v>92</v>
      </c>
      <c r="C675" s="1" t="s">
        <v>53</v>
      </c>
      <c r="D675" s="4">
        <v>0</v>
      </c>
      <c r="E675" s="4">
        <v>105.6</v>
      </c>
      <c r="F675" s="4">
        <v>105.6</v>
      </c>
      <c r="H675" s="68">
        <f t="shared" si="10"/>
        <v>1</v>
      </c>
    </row>
    <row r="676" spans="1:8" x14ac:dyDescent="0.2">
      <c r="A676" s="6">
        <v>675</v>
      </c>
      <c r="B676" s="1" t="s">
        <v>92</v>
      </c>
      <c r="C676" s="1" t="s">
        <v>54</v>
      </c>
      <c r="D676" s="4">
        <v>204.5</v>
      </c>
      <c r="E676" s="4">
        <v>0</v>
      </c>
      <c r="F676" s="4">
        <v>204.5</v>
      </c>
      <c r="H676" s="68">
        <f t="shared" si="10"/>
        <v>0</v>
      </c>
    </row>
    <row r="677" spans="1:8" x14ac:dyDescent="0.2">
      <c r="A677" s="6">
        <v>676</v>
      </c>
      <c r="B677" s="1" t="s">
        <v>92</v>
      </c>
      <c r="C677" s="1" t="s">
        <v>55</v>
      </c>
      <c r="D677" s="4">
        <v>154</v>
      </c>
      <c r="E677" s="4">
        <v>0</v>
      </c>
      <c r="F677" s="4">
        <v>154</v>
      </c>
      <c r="H677" s="68">
        <f t="shared" si="10"/>
        <v>0</v>
      </c>
    </row>
    <row r="678" spans="1:8" x14ac:dyDescent="0.2">
      <c r="A678" s="6">
        <v>677</v>
      </c>
      <c r="B678" s="1" t="s">
        <v>92</v>
      </c>
      <c r="C678" s="1" t="s">
        <v>56</v>
      </c>
      <c r="D678" s="4">
        <v>695.5</v>
      </c>
      <c r="E678" s="4">
        <v>446.2</v>
      </c>
      <c r="F678" s="4">
        <v>1141.7</v>
      </c>
      <c r="H678" s="68">
        <f t="shared" si="10"/>
        <v>0.39082070596478935</v>
      </c>
    </row>
    <row r="679" spans="1:8" x14ac:dyDescent="0.2">
      <c r="A679" s="6">
        <v>678</v>
      </c>
      <c r="B679" s="1" t="s">
        <v>92</v>
      </c>
      <c r="C679" s="1" t="s">
        <v>57</v>
      </c>
      <c r="D679" s="4">
        <v>0</v>
      </c>
      <c r="E679" s="4">
        <v>0</v>
      </c>
      <c r="F679" s="4">
        <v>0</v>
      </c>
      <c r="H679" s="68">
        <f t="shared" si="10"/>
        <v>0</v>
      </c>
    </row>
    <row r="680" spans="1:8" x14ac:dyDescent="0.2">
      <c r="A680" s="6">
        <v>679</v>
      </c>
      <c r="B680" s="1" t="s">
        <v>92</v>
      </c>
      <c r="C680" s="1" t="s">
        <v>58</v>
      </c>
      <c r="D680" s="4">
        <v>683</v>
      </c>
      <c r="E680" s="4">
        <v>53.5</v>
      </c>
      <c r="F680" s="4">
        <v>736.5</v>
      </c>
      <c r="H680" s="68">
        <f t="shared" si="10"/>
        <v>7.2640868974881201E-2</v>
      </c>
    </row>
    <row r="681" spans="1:8" x14ac:dyDescent="0.2">
      <c r="A681" s="7">
        <v>680</v>
      </c>
      <c r="B681" s="8" t="s">
        <v>92</v>
      </c>
      <c r="C681" s="8" t="s">
        <v>59</v>
      </c>
      <c r="D681" s="9">
        <v>1737</v>
      </c>
      <c r="E681" s="9">
        <v>605.29999999999995</v>
      </c>
      <c r="F681" s="9">
        <v>2342.3000000000002</v>
      </c>
      <c r="H681" s="68">
        <f t="shared" si="10"/>
        <v>0.25842120992187162</v>
      </c>
    </row>
    <row r="682" spans="1:8" x14ac:dyDescent="0.2">
      <c r="A682" s="6">
        <v>681</v>
      </c>
      <c r="B682" s="1" t="s">
        <v>92</v>
      </c>
      <c r="C682" s="1" t="s">
        <v>33</v>
      </c>
      <c r="D682" s="4">
        <v>3.2112966650212696E-2</v>
      </c>
      <c r="E682" s="4">
        <v>3.1717453192783743E-3</v>
      </c>
      <c r="F682" s="4">
        <v>9.5630780185161895E-3</v>
      </c>
      <c r="H682" s="68">
        <f t="shared" si="10"/>
        <v>0.33166573702914359</v>
      </c>
    </row>
    <row r="683" spans="1:8" x14ac:dyDescent="0.2">
      <c r="A683" s="6">
        <v>682</v>
      </c>
      <c r="B683" s="1" t="s">
        <v>92</v>
      </c>
      <c r="C683" s="1" t="s">
        <v>60</v>
      </c>
      <c r="D683" s="4">
        <v>349.9</v>
      </c>
      <c r="E683" s="4">
        <v>112.7</v>
      </c>
      <c r="F683" s="4">
        <v>462.59999999999997</v>
      </c>
      <c r="H683" s="68">
        <f t="shared" si="10"/>
        <v>0.24362300043233898</v>
      </c>
    </row>
    <row r="684" spans="1:8" x14ac:dyDescent="0.2">
      <c r="A684" s="6">
        <v>683</v>
      </c>
      <c r="B684" s="1" t="s">
        <v>92</v>
      </c>
      <c r="C684" s="1" t="s">
        <v>61</v>
      </c>
      <c r="D684" s="4">
        <v>1807.1</v>
      </c>
      <c r="E684" s="4">
        <v>35.9</v>
      </c>
      <c r="F684" s="4">
        <v>1843</v>
      </c>
      <c r="H684" s="68">
        <f t="shared" si="10"/>
        <v>1.9479110146500271E-2</v>
      </c>
    </row>
    <row r="685" spans="1:8" x14ac:dyDescent="0.2">
      <c r="A685" s="6">
        <v>684</v>
      </c>
      <c r="B685" s="1" t="s">
        <v>92</v>
      </c>
      <c r="C685" s="1" t="s">
        <v>62</v>
      </c>
      <c r="D685" s="4">
        <v>2768.8</v>
      </c>
      <c r="E685" s="4">
        <v>44.3</v>
      </c>
      <c r="F685" s="4">
        <v>2813.1000000000004</v>
      </c>
      <c r="H685" s="68">
        <f t="shared" si="10"/>
        <v>1.5747751590771745E-2</v>
      </c>
    </row>
    <row r="686" spans="1:8" x14ac:dyDescent="0.2">
      <c r="A686" s="6">
        <v>685</v>
      </c>
      <c r="B686" s="1" t="s">
        <v>92</v>
      </c>
      <c r="C686" s="1" t="s">
        <v>63</v>
      </c>
      <c r="D686" s="4">
        <v>0</v>
      </c>
      <c r="E686" s="4">
        <v>0</v>
      </c>
      <c r="F686" s="4">
        <v>0</v>
      </c>
      <c r="H686" s="68">
        <f t="shared" si="10"/>
        <v>0</v>
      </c>
    </row>
    <row r="687" spans="1:8" x14ac:dyDescent="0.2">
      <c r="A687" s="6">
        <v>686</v>
      </c>
      <c r="B687" s="1" t="s">
        <v>92</v>
      </c>
      <c r="C687" s="1" t="s">
        <v>64</v>
      </c>
      <c r="D687" s="4">
        <v>1142.8</v>
      </c>
      <c r="E687" s="4">
        <v>185.1</v>
      </c>
      <c r="F687" s="4">
        <v>1327.8999999999999</v>
      </c>
      <c r="H687" s="68">
        <f t="shared" si="10"/>
        <v>0.13939302658332706</v>
      </c>
    </row>
    <row r="688" spans="1:8" x14ac:dyDescent="0.2">
      <c r="A688" s="7">
        <v>687</v>
      </c>
      <c r="B688" s="8" t="s">
        <v>92</v>
      </c>
      <c r="C688" s="8" t="s">
        <v>65</v>
      </c>
      <c r="D688" s="9">
        <v>6068.6</v>
      </c>
      <c r="E688" s="9">
        <v>378</v>
      </c>
      <c r="F688" s="9">
        <v>6446.6</v>
      </c>
      <c r="H688" s="68">
        <f t="shared" si="10"/>
        <v>5.8635559829987895E-2</v>
      </c>
    </row>
    <row r="689" spans="1:8" x14ac:dyDescent="0.2">
      <c r="A689" s="6">
        <v>688</v>
      </c>
      <c r="B689" s="1" t="s">
        <v>92</v>
      </c>
      <c r="C689" s="1" t="s">
        <v>33</v>
      </c>
      <c r="D689" s="4">
        <v>0.11219386840154334</v>
      </c>
      <c r="E689" s="4">
        <v>1.980703338323518E-3</v>
      </c>
      <c r="F689" s="4">
        <v>2.6320001175838478E-2</v>
      </c>
      <c r="H689" s="68">
        <f t="shared" si="10"/>
        <v>7.5254682744535201E-2</v>
      </c>
    </row>
    <row r="690" spans="1:8" x14ac:dyDescent="0.2">
      <c r="A690" s="6">
        <v>689</v>
      </c>
      <c r="B690" s="1" t="s">
        <v>92</v>
      </c>
      <c r="C690" s="1" t="s">
        <v>66</v>
      </c>
      <c r="D690" s="4">
        <v>476.1</v>
      </c>
      <c r="E690" s="4">
        <v>0</v>
      </c>
      <c r="F690" s="4">
        <v>476.1</v>
      </c>
      <c r="H690" s="68">
        <f t="shared" si="10"/>
        <v>0</v>
      </c>
    </row>
    <row r="691" spans="1:8" x14ac:dyDescent="0.2">
      <c r="A691" s="6">
        <v>690</v>
      </c>
      <c r="B691" s="1" t="s">
        <v>92</v>
      </c>
      <c r="C691" s="1" t="s">
        <v>67</v>
      </c>
      <c r="D691" s="4">
        <v>297.10000000000002</v>
      </c>
      <c r="E691" s="4">
        <v>258.60000000000002</v>
      </c>
      <c r="F691" s="4">
        <v>555.70000000000005</v>
      </c>
      <c r="H691" s="68">
        <f t="shared" si="10"/>
        <v>0.46535900665826885</v>
      </c>
    </row>
    <row r="692" spans="1:8" x14ac:dyDescent="0.2">
      <c r="A692" s="6">
        <v>691</v>
      </c>
      <c r="B692" s="1" t="s">
        <v>92</v>
      </c>
      <c r="C692" s="1" t="s">
        <v>68</v>
      </c>
      <c r="D692" s="4">
        <v>2059</v>
      </c>
      <c r="E692" s="4">
        <v>872.6</v>
      </c>
      <c r="F692" s="4">
        <v>2931.6</v>
      </c>
      <c r="H692" s="68">
        <f t="shared" si="10"/>
        <v>0.29765315868467734</v>
      </c>
    </row>
    <row r="693" spans="1:8" x14ac:dyDescent="0.2">
      <c r="A693" s="6">
        <v>692</v>
      </c>
      <c r="B693" s="1" t="s">
        <v>92</v>
      </c>
      <c r="C693" s="1" t="s">
        <v>69</v>
      </c>
      <c r="D693" s="4">
        <v>281.7</v>
      </c>
      <c r="E693" s="4">
        <v>56.6</v>
      </c>
      <c r="F693" s="4">
        <v>338.3</v>
      </c>
      <c r="H693" s="68">
        <f t="shared" si="10"/>
        <v>0.16730712385456695</v>
      </c>
    </row>
    <row r="694" spans="1:8" x14ac:dyDescent="0.2">
      <c r="A694" s="6">
        <v>693</v>
      </c>
      <c r="B694" s="1" t="s">
        <v>92</v>
      </c>
      <c r="C694" s="1" t="s">
        <v>70</v>
      </c>
      <c r="D694" s="4">
        <v>2119.9</v>
      </c>
      <c r="E694" s="4">
        <v>414.7</v>
      </c>
      <c r="F694" s="4">
        <v>2534.6</v>
      </c>
      <c r="H694" s="68">
        <f t="shared" si="10"/>
        <v>0.16361556064073227</v>
      </c>
    </row>
    <row r="695" spans="1:8" x14ac:dyDescent="0.2">
      <c r="A695" s="6">
        <v>694</v>
      </c>
      <c r="B695" s="1" t="s">
        <v>92</v>
      </c>
      <c r="C695" s="1" t="s">
        <v>71</v>
      </c>
      <c r="D695" s="4">
        <v>28.6</v>
      </c>
      <c r="E695" s="4">
        <v>195.2</v>
      </c>
      <c r="F695" s="4">
        <v>223.79999999999998</v>
      </c>
      <c r="H695" s="68">
        <f t="shared" si="10"/>
        <v>0.8722073279714031</v>
      </c>
    </row>
    <row r="696" spans="1:8" x14ac:dyDescent="0.2">
      <c r="A696" s="6">
        <v>695</v>
      </c>
      <c r="B696" s="1" t="s">
        <v>92</v>
      </c>
      <c r="C696" s="1" t="s">
        <v>72</v>
      </c>
      <c r="D696" s="4">
        <v>0</v>
      </c>
      <c r="E696" s="4">
        <v>0</v>
      </c>
      <c r="F696" s="4">
        <v>0</v>
      </c>
      <c r="H696" s="68">
        <f t="shared" si="10"/>
        <v>0</v>
      </c>
    </row>
    <row r="697" spans="1:8" x14ac:dyDescent="0.2">
      <c r="A697" s="6">
        <v>696</v>
      </c>
      <c r="B697" s="1" t="s">
        <v>92</v>
      </c>
      <c r="C697" s="1" t="s">
        <v>73</v>
      </c>
      <c r="D697" s="4">
        <v>88.9</v>
      </c>
      <c r="E697" s="4">
        <v>21.9</v>
      </c>
      <c r="F697" s="4">
        <v>110.80000000000001</v>
      </c>
      <c r="H697" s="68">
        <f t="shared" si="10"/>
        <v>0.19765342960288806</v>
      </c>
    </row>
    <row r="698" spans="1:8" x14ac:dyDescent="0.2">
      <c r="A698" s="6">
        <v>697</v>
      </c>
      <c r="B698" s="1" t="s">
        <v>92</v>
      </c>
      <c r="C698" s="1" t="s">
        <v>74</v>
      </c>
      <c r="D698" s="4">
        <v>762.1</v>
      </c>
      <c r="E698" s="4">
        <v>0</v>
      </c>
      <c r="F698" s="4">
        <v>762.1</v>
      </c>
      <c r="H698" s="68">
        <f t="shared" si="10"/>
        <v>0</v>
      </c>
    </row>
    <row r="699" spans="1:8" x14ac:dyDescent="0.2">
      <c r="A699" s="6">
        <v>698</v>
      </c>
      <c r="B699" s="1" t="s">
        <v>92</v>
      </c>
      <c r="C699" s="1" t="s">
        <v>75</v>
      </c>
      <c r="D699" s="4">
        <v>0</v>
      </c>
      <c r="E699" s="4">
        <v>0</v>
      </c>
      <c r="F699" s="4">
        <v>0</v>
      </c>
      <c r="H699" s="68">
        <f t="shared" si="10"/>
        <v>0</v>
      </c>
    </row>
    <row r="700" spans="1:8" x14ac:dyDescent="0.2">
      <c r="A700" s="6">
        <v>699</v>
      </c>
      <c r="B700" s="1" t="s">
        <v>92</v>
      </c>
      <c r="C700" s="1" t="s">
        <v>76</v>
      </c>
      <c r="D700" s="4">
        <v>9.1999999999999993</v>
      </c>
      <c r="E700" s="4">
        <v>0</v>
      </c>
      <c r="F700" s="4">
        <v>9.1999999999999993</v>
      </c>
      <c r="H700" s="68">
        <f t="shared" si="10"/>
        <v>0</v>
      </c>
    </row>
    <row r="701" spans="1:8" x14ac:dyDescent="0.2">
      <c r="A701" s="6">
        <v>700</v>
      </c>
      <c r="B701" s="1" t="s">
        <v>92</v>
      </c>
      <c r="C701" s="1" t="s">
        <v>77</v>
      </c>
      <c r="D701" s="4">
        <v>569.5</v>
      </c>
      <c r="E701" s="4">
        <v>13210.4</v>
      </c>
      <c r="F701" s="4">
        <v>13779.9</v>
      </c>
      <c r="H701" s="68">
        <f t="shared" si="10"/>
        <v>0.95867168847379158</v>
      </c>
    </row>
    <row r="702" spans="1:8" x14ac:dyDescent="0.2">
      <c r="A702" s="6">
        <v>701</v>
      </c>
      <c r="B702" s="1" t="s">
        <v>92</v>
      </c>
      <c r="C702" s="1" t="s">
        <v>78</v>
      </c>
      <c r="D702" s="4">
        <v>0</v>
      </c>
      <c r="E702" s="4">
        <v>0</v>
      </c>
      <c r="F702" s="4">
        <v>0</v>
      </c>
      <c r="H702" s="68">
        <f t="shared" si="10"/>
        <v>0</v>
      </c>
    </row>
    <row r="703" spans="1:8" x14ac:dyDescent="0.2">
      <c r="A703" s="7">
        <v>702</v>
      </c>
      <c r="B703" s="8" t="s">
        <v>92</v>
      </c>
      <c r="C703" s="8" t="s">
        <v>79</v>
      </c>
      <c r="D703" s="9">
        <v>6692.0999999999995</v>
      </c>
      <c r="E703" s="9">
        <v>15030</v>
      </c>
      <c r="F703" s="9">
        <v>21722.1</v>
      </c>
      <c r="H703" s="68">
        <f t="shared" si="10"/>
        <v>0.6919220517353295</v>
      </c>
    </row>
    <row r="704" spans="1:8" x14ac:dyDescent="0.2">
      <c r="A704" s="6">
        <v>703</v>
      </c>
      <c r="B704" s="1" t="s">
        <v>92</v>
      </c>
      <c r="C704" s="1" t="s">
        <v>33</v>
      </c>
      <c r="D704" s="4">
        <v>0.12372088895790925</v>
      </c>
      <c r="E704" s="4">
        <v>7.8756537500006552E-2</v>
      </c>
      <c r="F704" s="4">
        <v>8.8686392445891007E-2</v>
      </c>
      <c r="H704" s="68">
        <f t="shared" si="10"/>
        <v>0.88803406394117546</v>
      </c>
    </row>
    <row r="705" spans="1:8" x14ac:dyDescent="0.2">
      <c r="A705" s="6">
        <v>704</v>
      </c>
      <c r="B705" s="1" t="s">
        <v>92</v>
      </c>
      <c r="C705" s="1" t="s">
        <v>80</v>
      </c>
      <c r="D705" s="4">
        <v>0</v>
      </c>
      <c r="E705" s="4">
        <v>0</v>
      </c>
      <c r="F705" s="4">
        <v>0</v>
      </c>
      <c r="H705" s="68">
        <f t="shared" si="10"/>
        <v>0</v>
      </c>
    </row>
    <row r="706" spans="1:8" x14ac:dyDescent="0.2">
      <c r="A706" s="6">
        <v>705</v>
      </c>
      <c r="B706" s="1" t="s">
        <v>92</v>
      </c>
      <c r="C706" s="1" t="s">
        <v>81</v>
      </c>
      <c r="D706" s="4">
        <v>0</v>
      </c>
      <c r="E706" s="4">
        <v>0</v>
      </c>
      <c r="F706" s="4">
        <v>0</v>
      </c>
      <c r="H706" s="68">
        <f t="shared" si="10"/>
        <v>0</v>
      </c>
    </row>
    <row r="707" spans="1:8" x14ac:dyDescent="0.2">
      <c r="A707" s="6">
        <v>706</v>
      </c>
      <c r="B707" s="1" t="s">
        <v>92</v>
      </c>
      <c r="C707" s="1" t="s">
        <v>82</v>
      </c>
      <c r="D707" s="4">
        <v>0</v>
      </c>
      <c r="E707" s="4">
        <v>0</v>
      </c>
      <c r="F707" s="4">
        <v>0</v>
      </c>
      <c r="H707" s="68">
        <f t="shared" ref="H707:H770" si="11">IFERROR(E707/F707,0)</f>
        <v>0</v>
      </c>
    </row>
    <row r="708" spans="1:8" x14ac:dyDescent="0.2">
      <c r="A708" s="6">
        <v>707</v>
      </c>
      <c r="B708" s="1" t="s">
        <v>92</v>
      </c>
      <c r="C708" s="1" t="s">
        <v>83</v>
      </c>
      <c r="D708" s="4">
        <v>0</v>
      </c>
      <c r="E708" s="4">
        <v>0</v>
      </c>
      <c r="F708" s="4">
        <v>0</v>
      </c>
      <c r="H708" s="68">
        <f t="shared" si="11"/>
        <v>0</v>
      </c>
    </row>
    <row r="709" spans="1:8" x14ac:dyDescent="0.2">
      <c r="A709" s="6">
        <v>708</v>
      </c>
      <c r="B709" s="1" t="s">
        <v>92</v>
      </c>
      <c r="C709" s="1" t="s">
        <v>84</v>
      </c>
      <c r="D709" s="4">
        <v>0</v>
      </c>
      <c r="E709" s="4">
        <v>0</v>
      </c>
      <c r="F709" s="4">
        <v>0</v>
      </c>
      <c r="H709" s="68">
        <f t="shared" si="11"/>
        <v>0</v>
      </c>
    </row>
    <row r="710" spans="1:8" x14ac:dyDescent="0.2">
      <c r="A710" s="6">
        <v>709</v>
      </c>
      <c r="B710" s="1" t="s">
        <v>92</v>
      </c>
      <c r="C710" s="1" t="s">
        <v>85</v>
      </c>
      <c r="D710" s="4">
        <v>0</v>
      </c>
      <c r="E710" s="4">
        <v>0</v>
      </c>
      <c r="F710" s="4">
        <v>0</v>
      </c>
      <c r="H710" s="68">
        <f t="shared" si="11"/>
        <v>0</v>
      </c>
    </row>
    <row r="711" spans="1:8" x14ac:dyDescent="0.2">
      <c r="A711" s="7">
        <v>710</v>
      </c>
      <c r="B711" s="8" t="s">
        <v>92</v>
      </c>
      <c r="C711" s="8" t="s">
        <v>86</v>
      </c>
      <c r="D711" s="9">
        <v>0</v>
      </c>
      <c r="E711" s="9">
        <v>0</v>
      </c>
      <c r="F711" s="9">
        <v>0</v>
      </c>
      <c r="H711" s="68">
        <f t="shared" si="11"/>
        <v>0</v>
      </c>
    </row>
    <row r="712" spans="1:8" x14ac:dyDescent="0.2">
      <c r="A712" s="6">
        <v>711</v>
      </c>
      <c r="B712" s="1" t="s">
        <v>92</v>
      </c>
      <c r="C712" s="1" t="s">
        <v>33</v>
      </c>
      <c r="D712" s="4">
        <v>0</v>
      </c>
      <c r="E712" s="4">
        <v>0</v>
      </c>
      <c r="F712" s="4">
        <v>0</v>
      </c>
      <c r="H712" s="68">
        <f t="shared" si="11"/>
        <v>0</v>
      </c>
    </row>
    <row r="713" spans="1:8" x14ac:dyDescent="0.2">
      <c r="A713" s="6">
        <v>712</v>
      </c>
      <c r="B713" s="1" t="s">
        <v>92</v>
      </c>
      <c r="C713" s="1" t="s">
        <v>87</v>
      </c>
      <c r="D713" s="4">
        <v>0</v>
      </c>
      <c r="E713" s="4">
        <v>0</v>
      </c>
      <c r="F713" s="4">
        <v>0</v>
      </c>
      <c r="H713" s="68">
        <f t="shared" si="11"/>
        <v>0</v>
      </c>
    </row>
    <row r="714" spans="1:8" x14ac:dyDescent="0.2">
      <c r="A714" s="6">
        <v>713</v>
      </c>
      <c r="B714" s="1" t="s">
        <v>92</v>
      </c>
      <c r="C714" s="1" t="s">
        <v>88</v>
      </c>
      <c r="D714" s="4">
        <v>0</v>
      </c>
      <c r="E714" s="4">
        <v>0</v>
      </c>
      <c r="F714" s="4">
        <v>0</v>
      </c>
      <c r="H714" s="68">
        <f t="shared" si="11"/>
        <v>0</v>
      </c>
    </row>
    <row r="715" spans="1:8" x14ac:dyDescent="0.2">
      <c r="A715" s="7">
        <v>714</v>
      </c>
      <c r="B715" s="8" t="s">
        <v>92</v>
      </c>
      <c r="C715" s="8" t="s">
        <v>89</v>
      </c>
      <c r="D715" s="9">
        <v>0</v>
      </c>
      <c r="E715" s="9">
        <v>0</v>
      </c>
      <c r="F715" s="9">
        <v>0</v>
      </c>
      <c r="H715" s="68">
        <f t="shared" si="11"/>
        <v>0</v>
      </c>
    </row>
    <row r="716" spans="1:8" x14ac:dyDescent="0.2">
      <c r="A716" s="6">
        <v>715</v>
      </c>
      <c r="B716" s="1" t="s">
        <v>92</v>
      </c>
      <c r="C716" s="1" t="s">
        <v>33</v>
      </c>
      <c r="D716" s="4">
        <v>0</v>
      </c>
      <c r="E716" s="4">
        <v>0</v>
      </c>
      <c r="F716" s="4">
        <v>0</v>
      </c>
      <c r="H716" s="68">
        <f t="shared" si="11"/>
        <v>0</v>
      </c>
    </row>
    <row r="717" spans="1:8" x14ac:dyDescent="0.2">
      <c r="A717" s="6">
        <v>716</v>
      </c>
      <c r="B717" s="1" t="s">
        <v>92</v>
      </c>
      <c r="C717" s="1" t="s">
        <v>90</v>
      </c>
      <c r="D717" s="4">
        <v>591.4</v>
      </c>
      <c r="E717" s="4">
        <v>1583.8</v>
      </c>
      <c r="F717" s="4">
        <v>2175.1999999999998</v>
      </c>
      <c r="H717" s="68">
        <f t="shared" si="11"/>
        <v>0.72811695476278049</v>
      </c>
    </row>
    <row r="718" spans="1:8" x14ac:dyDescent="0.2">
      <c r="A718" s="6">
        <v>717</v>
      </c>
      <c r="B718" s="1" t="s">
        <v>92</v>
      </c>
      <c r="C718" s="1" t="s">
        <v>33</v>
      </c>
      <c r="D718" s="4">
        <v>1.0933568495645245E-2</v>
      </c>
      <c r="E718" s="4">
        <v>8.2990421884571106E-3</v>
      </c>
      <c r="F718" s="4">
        <v>8.8808467343535896E-3</v>
      </c>
      <c r="H718" s="68">
        <f t="shared" si="11"/>
        <v>0.93448771684732523</v>
      </c>
    </row>
    <row r="719" spans="1:8" x14ac:dyDescent="0.2">
      <c r="A719" s="6">
        <v>718</v>
      </c>
      <c r="B719" s="1" t="s">
        <v>92</v>
      </c>
      <c r="C719" s="1" t="s">
        <v>91</v>
      </c>
      <c r="D719" s="4">
        <v>617.4</v>
      </c>
      <c r="E719" s="4">
        <v>1834.2</v>
      </c>
      <c r="F719" s="4">
        <v>2451.6</v>
      </c>
      <c r="H719" s="68">
        <f t="shared" si="11"/>
        <v>0.7481644640234949</v>
      </c>
    </row>
    <row r="720" spans="1:8" x14ac:dyDescent="0.2">
      <c r="A720" s="6">
        <v>719</v>
      </c>
      <c r="B720" s="1" t="s">
        <v>92</v>
      </c>
      <c r="C720" s="1" t="s">
        <v>33</v>
      </c>
      <c r="D720" s="4">
        <v>1.141424617722586E-2</v>
      </c>
      <c r="E720" s="4">
        <v>9.611127151198405E-3</v>
      </c>
      <c r="F720" s="4">
        <v>1.000932505238197E-2</v>
      </c>
      <c r="H720" s="68">
        <f t="shared" si="11"/>
        <v>0.96021730745083522</v>
      </c>
    </row>
    <row r="721" spans="1:8" x14ac:dyDescent="0.2">
      <c r="A721" s="10">
        <v>720</v>
      </c>
      <c r="B721" s="11" t="s">
        <v>92</v>
      </c>
      <c r="C721" s="11" t="s">
        <v>2</v>
      </c>
      <c r="D721" s="12">
        <v>54090.3</v>
      </c>
      <c r="E721" s="12">
        <v>190841.3</v>
      </c>
      <c r="F721" s="12">
        <v>244931.6</v>
      </c>
      <c r="H721" s="68">
        <f t="shared" si="11"/>
        <v>0.77916161083339175</v>
      </c>
    </row>
    <row r="722" spans="1:8" x14ac:dyDescent="0.2">
      <c r="A722" s="6">
        <v>721</v>
      </c>
      <c r="B722" s="1" t="s">
        <v>93</v>
      </c>
      <c r="C722" s="1" t="s">
        <v>23</v>
      </c>
      <c r="D722" s="4">
        <v>0</v>
      </c>
      <c r="E722" s="4">
        <v>0</v>
      </c>
      <c r="F722" s="4">
        <v>0</v>
      </c>
      <c r="H722" s="68">
        <f t="shared" si="11"/>
        <v>0</v>
      </c>
    </row>
    <row r="723" spans="1:8" x14ac:dyDescent="0.2">
      <c r="A723" s="6">
        <v>722</v>
      </c>
      <c r="B723" s="1" t="s">
        <v>93</v>
      </c>
      <c r="C723" s="1" t="s">
        <v>24</v>
      </c>
      <c r="D723" s="4">
        <v>0</v>
      </c>
      <c r="E723" s="4">
        <v>0</v>
      </c>
      <c r="F723" s="4">
        <v>0</v>
      </c>
      <c r="H723" s="68">
        <f t="shared" si="11"/>
        <v>0</v>
      </c>
    </row>
    <row r="724" spans="1:8" x14ac:dyDescent="0.2">
      <c r="A724" s="6">
        <v>723</v>
      </c>
      <c r="B724" s="1" t="s">
        <v>93</v>
      </c>
      <c r="C724" s="1" t="s">
        <v>25</v>
      </c>
      <c r="D724" s="4">
        <v>0</v>
      </c>
      <c r="E724" s="4">
        <v>0</v>
      </c>
      <c r="F724" s="4">
        <v>0</v>
      </c>
      <c r="H724" s="68">
        <f t="shared" si="11"/>
        <v>0</v>
      </c>
    </row>
    <row r="725" spans="1:8" x14ac:dyDescent="0.2">
      <c r="A725" s="6">
        <v>724</v>
      </c>
      <c r="B725" s="1" t="s">
        <v>93</v>
      </c>
      <c r="C725" s="1" t="s">
        <v>26</v>
      </c>
      <c r="D725" s="4">
        <v>0</v>
      </c>
      <c r="E725" s="4">
        <v>0</v>
      </c>
      <c r="F725" s="4">
        <v>0</v>
      </c>
      <c r="H725" s="68">
        <f t="shared" si="11"/>
        <v>0</v>
      </c>
    </row>
    <row r="726" spans="1:8" x14ac:dyDescent="0.2">
      <c r="A726" s="6">
        <v>725</v>
      </c>
      <c r="B726" s="1" t="s">
        <v>93</v>
      </c>
      <c r="C726" s="1" t="s">
        <v>27</v>
      </c>
      <c r="D726" s="4">
        <v>0</v>
      </c>
      <c r="E726" s="4">
        <v>0</v>
      </c>
      <c r="F726" s="4">
        <v>0</v>
      </c>
      <c r="H726" s="68">
        <f t="shared" si="11"/>
        <v>0</v>
      </c>
    </row>
    <row r="727" spans="1:8" x14ac:dyDescent="0.2">
      <c r="A727" s="6">
        <v>726</v>
      </c>
      <c r="B727" s="1" t="s">
        <v>93</v>
      </c>
      <c r="C727" s="1" t="s">
        <v>28</v>
      </c>
      <c r="D727" s="4">
        <v>0</v>
      </c>
      <c r="E727" s="4">
        <v>0</v>
      </c>
      <c r="F727" s="4">
        <v>0</v>
      </c>
      <c r="H727" s="68">
        <f t="shared" si="11"/>
        <v>0</v>
      </c>
    </row>
    <row r="728" spans="1:8" x14ac:dyDescent="0.2">
      <c r="A728" s="6">
        <v>727</v>
      </c>
      <c r="B728" s="1" t="s">
        <v>93</v>
      </c>
      <c r="C728" s="1" t="s">
        <v>29</v>
      </c>
      <c r="D728" s="4">
        <v>0</v>
      </c>
      <c r="E728" s="4">
        <v>0</v>
      </c>
      <c r="F728" s="4">
        <v>0</v>
      </c>
      <c r="H728" s="68">
        <f t="shared" si="11"/>
        <v>0</v>
      </c>
    </row>
    <row r="729" spans="1:8" x14ac:dyDescent="0.2">
      <c r="A729" s="6">
        <v>728</v>
      </c>
      <c r="B729" s="1" t="s">
        <v>93</v>
      </c>
      <c r="C729" s="1" t="s">
        <v>30</v>
      </c>
      <c r="D729" s="4">
        <v>0</v>
      </c>
      <c r="E729" s="4">
        <v>0</v>
      </c>
      <c r="F729" s="4">
        <v>0</v>
      </c>
      <c r="H729" s="68">
        <f t="shared" si="11"/>
        <v>0</v>
      </c>
    </row>
    <row r="730" spans="1:8" x14ac:dyDescent="0.2">
      <c r="A730" s="6">
        <v>729</v>
      </c>
      <c r="B730" s="1" t="s">
        <v>93</v>
      </c>
      <c r="C730" s="1" t="s">
        <v>31</v>
      </c>
      <c r="D730" s="4">
        <v>0</v>
      </c>
      <c r="E730" s="4">
        <v>0</v>
      </c>
      <c r="F730" s="4">
        <v>0</v>
      </c>
      <c r="H730" s="68">
        <f t="shared" si="11"/>
        <v>0</v>
      </c>
    </row>
    <row r="731" spans="1:8" x14ac:dyDescent="0.2">
      <c r="A731" s="7">
        <v>730</v>
      </c>
      <c r="B731" s="8" t="s">
        <v>93</v>
      </c>
      <c r="C731" s="8" t="s">
        <v>32</v>
      </c>
      <c r="D731" s="9">
        <v>0</v>
      </c>
      <c r="E731" s="9">
        <v>0</v>
      </c>
      <c r="F731" s="9">
        <v>0</v>
      </c>
      <c r="H731" s="68">
        <f t="shared" si="11"/>
        <v>0</v>
      </c>
    </row>
    <row r="732" spans="1:8" x14ac:dyDescent="0.2">
      <c r="A732" s="6">
        <v>731</v>
      </c>
      <c r="B732" s="1" t="s">
        <v>93</v>
      </c>
      <c r="C732" s="1" t="s">
        <v>33</v>
      </c>
      <c r="D732" s="4">
        <v>0</v>
      </c>
      <c r="E732" s="4">
        <v>0</v>
      </c>
      <c r="F732" s="4">
        <v>0</v>
      </c>
      <c r="H732" s="68">
        <f t="shared" si="11"/>
        <v>0</v>
      </c>
    </row>
    <row r="733" spans="1:8" x14ac:dyDescent="0.2">
      <c r="A733" s="6">
        <v>732</v>
      </c>
      <c r="B733" s="1" t="s">
        <v>93</v>
      </c>
      <c r="C733" s="1" t="s">
        <v>34</v>
      </c>
      <c r="D733" s="4">
        <v>0</v>
      </c>
      <c r="E733" s="4">
        <v>0</v>
      </c>
      <c r="F733" s="4">
        <v>0</v>
      </c>
      <c r="H733" s="68">
        <f t="shared" si="11"/>
        <v>0</v>
      </c>
    </row>
    <row r="734" spans="1:8" x14ac:dyDescent="0.2">
      <c r="A734" s="6">
        <v>733</v>
      </c>
      <c r="B734" s="1" t="s">
        <v>93</v>
      </c>
      <c r="C734" s="1" t="s">
        <v>35</v>
      </c>
      <c r="D734" s="4">
        <v>0</v>
      </c>
      <c r="E734" s="4">
        <v>0</v>
      </c>
      <c r="F734" s="4">
        <v>0</v>
      </c>
      <c r="H734" s="68">
        <f t="shared" si="11"/>
        <v>0</v>
      </c>
    </row>
    <row r="735" spans="1:8" x14ac:dyDescent="0.2">
      <c r="A735" s="6">
        <v>734</v>
      </c>
      <c r="B735" s="1" t="s">
        <v>93</v>
      </c>
      <c r="C735" s="1" t="s">
        <v>36</v>
      </c>
      <c r="D735" s="4">
        <v>0</v>
      </c>
      <c r="E735" s="4">
        <v>0</v>
      </c>
      <c r="F735" s="4">
        <v>0</v>
      </c>
      <c r="H735" s="68">
        <f t="shared" si="11"/>
        <v>0</v>
      </c>
    </row>
    <row r="736" spans="1:8" x14ac:dyDescent="0.2">
      <c r="A736" s="6">
        <v>735</v>
      </c>
      <c r="B736" s="1" t="s">
        <v>93</v>
      </c>
      <c r="C736" s="1" t="s">
        <v>37</v>
      </c>
      <c r="D736" s="4">
        <v>0</v>
      </c>
      <c r="E736" s="4">
        <v>0</v>
      </c>
      <c r="F736" s="4">
        <v>0</v>
      </c>
      <c r="H736" s="68">
        <f t="shared" si="11"/>
        <v>0</v>
      </c>
    </row>
    <row r="737" spans="1:8" x14ac:dyDescent="0.2">
      <c r="A737" s="7">
        <v>736</v>
      </c>
      <c r="B737" s="8" t="s">
        <v>93</v>
      </c>
      <c r="C737" s="8" t="s">
        <v>38</v>
      </c>
      <c r="D737" s="9">
        <v>0</v>
      </c>
      <c r="E737" s="9">
        <v>0</v>
      </c>
      <c r="F737" s="9">
        <v>0</v>
      </c>
      <c r="H737" s="68">
        <f t="shared" si="11"/>
        <v>0</v>
      </c>
    </row>
    <row r="738" spans="1:8" x14ac:dyDescent="0.2">
      <c r="A738" s="6">
        <v>737</v>
      </c>
      <c r="B738" s="1" t="s">
        <v>93</v>
      </c>
      <c r="C738" s="1" t="s">
        <v>33</v>
      </c>
      <c r="D738" s="4">
        <v>0</v>
      </c>
      <c r="E738" s="4">
        <v>0</v>
      </c>
      <c r="F738" s="4">
        <v>0</v>
      </c>
      <c r="H738" s="68">
        <f t="shared" si="11"/>
        <v>0</v>
      </c>
    </row>
    <row r="739" spans="1:8" x14ac:dyDescent="0.2">
      <c r="A739" s="6">
        <v>738</v>
      </c>
      <c r="B739" s="1" t="s">
        <v>93</v>
      </c>
      <c r="C739" s="1" t="s">
        <v>39</v>
      </c>
      <c r="D739" s="4">
        <v>0</v>
      </c>
      <c r="E739" s="4">
        <v>0</v>
      </c>
      <c r="F739" s="4">
        <v>0</v>
      </c>
      <c r="H739" s="68">
        <f t="shared" si="11"/>
        <v>0</v>
      </c>
    </row>
    <row r="740" spans="1:8" x14ac:dyDescent="0.2">
      <c r="A740" s="6">
        <v>739</v>
      </c>
      <c r="B740" s="1" t="s">
        <v>93</v>
      </c>
      <c r="C740" s="1" t="s">
        <v>40</v>
      </c>
      <c r="D740" s="4">
        <v>0</v>
      </c>
      <c r="E740" s="4">
        <v>0</v>
      </c>
      <c r="F740" s="4">
        <v>0</v>
      </c>
      <c r="H740" s="68">
        <f t="shared" si="11"/>
        <v>0</v>
      </c>
    </row>
    <row r="741" spans="1:8" x14ac:dyDescent="0.2">
      <c r="A741" s="6">
        <v>740</v>
      </c>
      <c r="B741" s="1" t="s">
        <v>93</v>
      </c>
      <c r="C741" s="1" t="s">
        <v>41</v>
      </c>
      <c r="D741" s="4">
        <v>0</v>
      </c>
      <c r="E741" s="4">
        <v>0</v>
      </c>
      <c r="F741" s="4">
        <v>0</v>
      </c>
      <c r="H741" s="68">
        <f t="shared" si="11"/>
        <v>0</v>
      </c>
    </row>
    <row r="742" spans="1:8" x14ac:dyDescent="0.2">
      <c r="A742" s="6">
        <v>741</v>
      </c>
      <c r="B742" s="1" t="s">
        <v>93</v>
      </c>
      <c r="C742" s="1" t="s">
        <v>42</v>
      </c>
      <c r="D742" s="4">
        <v>0</v>
      </c>
      <c r="E742" s="4">
        <v>0</v>
      </c>
      <c r="F742" s="4">
        <v>0</v>
      </c>
      <c r="H742" s="68">
        <f t="shared" si="11"/>
        <v>0</v>
      </c>
    </row>
    <row r="743" spans="1:8" x14ac:dyDescent="0.2">
      <c r="A743" s="6">
        <v>742</v>
      </c>
      <c r="B743" s="1" t="s">
        <v>93</v>
      </c>
      <c r="C743" s="1" t="s">
        <v>43</v>
      </c>
      <c r="D743" s="4">
        <v>0</v>
      </c>
      <c r="E743" s="4">
        <v>0</v>
      </c>
      <c r="F743" s="4">
        <v>0</v>
      </c>
      <c r="H743" s="68">
        <f t="shared" si="11"/>
        <v>0</v>
      </c>
    </row>
    <row r="744" spans="1:8" x14ac:dyDescent="0.2">
      <c r="A744" s="6">
        <v>743</v>
      </c>
      <c r="B744" s="1" t="s">
        <v>93</v>
      </c>
      <c r="C744" s="1" t="s">
        <v>44</v>
      </c>
      <c r="D744" s="4">
        <v>0</v>
      </c>
      <c r="E744" s="4">
        <v>0</v>
      </c>
      <c r="F744" s="4">
        <v>0</v>
      </c>
      <c r="H744" s="68">
        <f t="shared" si="11"/>
        <v>0</v>
      </c>
    </row>
    <row r="745" spans="1:8" x14ac:dyDescent="0.2">
      <c r="A745" s="7">
        <v>744</v>
      </c>
      <c r="B745" s="8" t="s">
        <v>93</v>
      </c>
      <c r="C745" s="8" t="s">
        <v>45</v>
      </c>
      <c r="D745" s="9">
        <v>0</v>
      </c>
      <c r="E745" s="9">
        <v>0</v>
      </c>
      <c r="F745" s="9">
        <v>0</v>
      </c>
      <c r="H745" s="68">
        <f t="shared" si="11"/>
        <v>0</v>
      </c>
    </row>
    <row r="746" spans="1:8" x14ac:dyDescent="0.2">
      <c r="A746" s="6">
        <v>745</v>
      </c>
      <c r="B746" s="1" t="s">
        <v>93</v>
      </c>
      <c r="C746" s="1" t="s">
        <v>33</v>
      </c>
      <c r="D746" s="4">
        <v>0</v>
      </c>
      <c r="E746" s="4">
        <v>0</v>
      </c>
      <c r="F746" s="4">
        <v>0</v>
      </c>
      <c r="H746" s="68">
        <f t="shared" si="11"/>
        <v>0</v>
      </c>
    </row>
    <row r="747" spans="1:8" x14ac:dyDescent="0.2">
      <c r="A747" s="6">
        <v>746</v>
      </c>
      <c r="B747" s="1" t="s">
        <v>93</v>
      </c>
      <c r="C747" s="1" t="s">
        <v>46</v>
      </c>
      <c r="D747" s="4">
        <v>0</v>
      </c>
      <c r="E747" s="4">
        <v>0</v>
      </c>
      <c r="F747" s="4">
        <v>0</v>
      </c>
      <c r="H747" s="68">
        <f t="shared" si="11"/>
        <v>0</v>
      </c>
    </row>
    <row r="748" spans="1:8" x14ac:dyDescent="0.2">
      <c r="A748" s="6">
        <v>747</v>
      </c>
      <c r="B748" s="1" t="s">
        <v>93</v>
      </c>
      <c r="C748" s="1" t="s">
        <v>47</v>
      </c>
      <c r="D748" s="4">
        <v>0</v>
      </c>
      <c r="E748" s="4">
        <v>0</v>
      </c>
      <c r="F748" s="4">
        <v>0</v>
      </c>
      <c r="H748" s="68">
        <f t="shared" si="11"/>
        <v>0</v>
      </c>
    </row>
    <row r="749" spans="1:8" x14ac:dyDescent="0.2">
      <c r="A749" s="6">
        <v>748</v>
      </c>
      <c r="B749" s="1" t="s">
        <v>93</v>
      </c>
      <c r="C749" s="1" t="s">
        <v>48</v>
      </c>
      <c r="D749" s="4">
        <v>0</v>
      </c>
      <c r="E749" s="4">
        <v>0</v>
      </c>
      <c r="F749" s="4">
        <v>0</v>
      </c>
      <c r="H749" s="68">
        <f t="shared" si="11"/>
        <v>0</v>
      </c>
    </row>
    <row r="750" spans="1:8" x14ac:dyDescent="0.2">
      <c r="A750" s="6">
        <v>749</v>
      </c>
      <c r="B750" s="1" t="s">
        <v>93</v>
      </c>
      <c r="C750" s="1" t="s">
        <v>49</v>
      </c>
      <c r="D750" s="4">
        <v>0</v>
      </c>
      <c r="E750" s="4">
        <v>0</v>
      </c>
      <c r="F750" s="4">
        <v>0</v>
      </c>
      <c r="H750" s="68">
        <f t="shared" si="11"/>
        <v>0</v>
      </c>
    </row>
    <row r="751" spans="1:8" x14ac:dyDescent="0.2">
      <c r="A751" s="6">
        <v>750</v>
      </c>
      <c r="B751" s="1" t="s">
        <v>93</v>
      </c>
      <c r="C751" s="1" t="s">
        <v>50</v>
      </c>
      <c r="D751" s="4">
        <v>0</v>
      </c>
      <c r="E751" s="4">
        <v>0</v>
      </c>
      <c r="F751" s="4">
        <v>0</v>
      </c>
      <c r="H751" s="68">
        <f t="shared" si="11"/>
        <v>0</v>
      </c>
    </row>
    <row r="752" spans="1:8" x14ac:dyDescent="0.2">
      <c r="A752" s="7">
        <v>751</v>
      </c>
      <c r="B752" s="8" t="s">
        <v>93</v>
      </c>
      <c r="C752" s="8" t="s">
        <v>51</v>
      </c>
      <c r="D752" s="9">
        <v>0</v>
      </c>
      <c r="E752" s="9">
        <v>0</v>
      </c>
      <c r="F752" s="9">
        <v>0</v>
      </c>
      <c r="H752" s="68">
        <f t="shared" si="11"/>
        <v>0</v>
      </c>
    </row>
    <row r="753" spans="1:8" x14ac:dyDescent="0.2">
      <c r="A753" s="6">
        <v>752</v>
      </c>
      <c r="B753" s="1" t="s">
        <v>93</v>
      </c>
      <c r="C753" s="1" t="s">
        <v>33</v>
      </c>
      <c r="D753" s="4">
        <v>0</v>
      </c>
      <c r="E753" s="4">
        <v>0</v>
      </c>
      <c r="F753" s="4">
        <v>0</v>
      </c>
      <c r="H753" s="68">
        <f t="shared" si="11"/>
        <v>0</v>
      </c>
    </row>
    <row r="754" spans="1:8" x14ac:dyDescent="0.2">
      <c r="A754" s="6">
        <v>753</v>
      </c>
      <c r="B754" s="1" t="s">
        <v>93</v>
      </c>
      <c r="C754" s="1" t="s">
        <v>52</v>
      </c>
      <c r="D754" s="4">
        <v>0</v>
      </c>
      <c r="E754" s="4">
        <v>0</v>
      </c>
      <c r="F754" s="4">
        <v>0</v>
      </c>
      <c r="H754" s="68">
        <f t="shared" si="11"/>
        <v>0</v>
      </c>
    </row>
    <row r="755" spans="1:8" x14ac:dyDescent="0.2">
      <c r="A755" s="6">
        <v>754</v>
      </c>
      <c r="B755" s="1" t="s">
        <v>93</v>
      </c>
      <c r="C755" s="1" t="s">
        <v>53</v>
      </c>
      <c r="D755" s="4">
        <v>0</v>
      </c>
      <c r="E755" s="4">
        <v>0</v>
      </c>
      <c r="F755" s="4">
        <v>0</v>
      </c>
      <c r="H755" s="68">
        <f t="shared" si="11"/>
        <v>0</v>
      </c>
    </row>
    <row r="756" spans="1:8" x14ac:dyDescent="0.2">
      <c r="A756" s="6">
        <v>755</v>
      </c>
      <c r="B756" s="1" t="s">
        <v>93</v>
      </c>
      <c r="C756" s="1" t="s">
        <v>54</v>
      </c>
      <c r="D756" s="4">
        <v>0</v>
      </c>
      <c r="E756" s="4">
        <v>0</v>
      </c>
      <c r="F756" s="4">
        <v>0</v>
      </c>
      <c r="H756" s="68">
        <f t="shared" si="11"/>
        <v>0</v>
      </c>
    </row>
    <row r="757" spans="1:8" x14ac:dyDescent="0.2">
      <c r="A757" s="6">
        <v>756</v>
      </c>
      <c r="B757" s="1" t="s">
        <v>93</v>
      </c>
      <c r="C757" s="1" t="s">
        <v>55</v>
      </c>
      <c r="D757" s="4">
        <v>0</v>
      </c>
      <c r="E757" s="4">
        <v>0</v>
      </c>
      <c r="F757" s="4">
        <v>0</v>
      </c>
      <c r="H757" s="68">
        <f t="shared" si="11"/>
        <v>0</v>
      </c>
    </row>
    <row r="758" spans="1:8" x14ac:dyDescent="0.2">
      <c r="A758" s="6">
        <v>757</v>
      </c>
      <c r="B758" s="1" t="s">
        <v>93</v>
      </c>
      <c r="C758" s="1" t="s">
        <v>56</v>
      </c>
      <c r="D758" s="4">
        <v>0</v>
      </c>
      <c r="E758" s="4">
        <v>0</v>
      </c>
      <c r="F758" s="4">
        <v>0</v>
      </c>
      <c r="H758" s="68">
        <f t="shared" si="11"/>
        <v>0</v>
      </c>
    </row>
    <row r="759" spans="1:8" x14ac:dyDescent="0.2">
      <c r="A759" s="6">
        <v>758</v>
      </c>
      <c r="B759" s="1" t="s">
        <v>93</v>
      </c>
      <c r="C759" s="1" t="s">
        <v>57</v>
      </c>
      <c r="D759" s="4">
        <v>0</v>
      </c>
      <c r="E759" s="4">
        <v>0</v>
      </c>
      <c r="F759" s="4">
        <v>0</v>
      </c>
      <c r="H759" s="68">
        <f t="shared" si="11"/>
        <v>0</v>
      </c>
    </row>
    <row r="760" spans="1:8" x14ac:dyDescent="0.2">
      <c r="A760" s="6">
        <v>759</v>
      </c>
      <c r="B760" s="1" t="s">
        <v>93</v>
      </c>
      <c r="C760" s="1" t="s">
        <v>58</v>
      </c>
      <c r="D760" s="4">
        <v>0</v>
      </c>
      <c r="E760" s="4">
        <v>0</v>
      </c>
      <c r="F760" s="4">
        <v>0</v>
      </c>
      <c r="H760" s="68">
        <f t="shared" si="11"/>
        <v>0</v>
      </c>
    </row>
    <row r="761" spans="1:8" x14ac:dyDescent="0.2">
      <c r="A761" s="7">
        <v>760</v>
      </c>
      <c r="B761" s="8" t="s">
        <v>93</v>
      </c>
      <c r="C761" s="8" t="s">
        <v>59</v>
      </c>
      <c r="D761" s="9">
        <v>0</v>
      </c>
      <c r="E761" s="9">
        <v>0</v>
      </c>
      <c r="F761" s="9">
        <v>0</v>
      </c>
      <c r="H761" s="68">
        <f t="shared" si="11"/>
        <v>0</v>
      </c>
    </row>
    <row r="762" spans="1:8" x14ac:dyDescent="0.2">
      <c r="A762" s="6">
        <v>761</v>
      </c>
      <c r="B762" s="1" t="s">
        <v>93</v>
      </c>
      <c r="C762" s="1" t="s">
        <v>33</v>
      </c>
      <c r="D762" s="4">
        <v>0</v>
      </c>
      <c r="E762" s="4">
        <v>0</v>
      </c>
      <c r="F762" s="4">
        <v>0</v>
      </c>
      <c r="H762" s="68">
        <f t="shared" si="11"/>
        <v>0</v>
      </c>
    </row>
    <row r="763" spans="1:8" x14ac:dyDescent="0.2">
      <c r="A763" s="6">
        <v>762</v>
      </c>
      <c r="B763" s="1" t="s">
        <v>93</v>
      </c>
      <c r="C763" s="1" t="s">
        <v>60</v>
      </c>
      <c r="D763" s="4">
        <v>997.798</v>
      </c>
      <c r="E763" s="4">
        <v>230.732</v>
      </c>
      <c r="F763" s="4">
        <v>1228.53</v>
      </c>
      <c r="H763" s="68">
        <f t="shared" si="11"/>
        <v>0.18781144945585374</v>
      </c>
    </row>
    <row r="764" spans="1:8" x14ac:dyDescent="0.2">
      <c r="A764" s="6">
        <v>763</v>
      </c>
      <c r="B764" s="1" t="s">
        <v>93</v>
      </c>
      <c r="C764" s="1" t="s">
        <v>61</v>
      </c>
      <c r="D764" s="4">
        <v>264.69600000000003</v>
      </c>
      <c r="E764" s="4">
        <v>528.33699999999999</v>
      </c>
      <c r="F764" s="4">
        <v>793.03300000000002</v>
      </c>
      <c r="H764" s="68">
        <f t="shared" si="11"/>
        <v>0.66622322148006452</v>
      </c>
    </row>
    <row r="765" spans="1:8" x14ac:dyDescent="0.2">
      <c r="A765" s="6">
        <v>764</v>
      </c>
      <c r="B765" s="1" t="s">
        <v>93</v>
      </c>
      <c r="C765" s="1" t="s">
        <v>62</v>
      </c>
      <c r="D765" s="4">
        <v>728.42200000000003</v>
      </c>
      <c r="E765" s="4">
        <v>746.51499999999999</v>
      </c>
      <c r="F765" s="4">
        <v>1474.9369999999999</v>
      </c>
      <c r="H765" s="68">
        <f t="shared" si="11"/>
        <v>0.50613348231144795</v>
      </c>
    </row>
    <row r="766" spans="1:8" x14ac:dyDescent="0.2">
      <c r="A766" s="6">
        <v>765</v>
      </c>
      <c r="B766" s="1" t="s">
        <v>93</v>
      </c>
      <c r="C766" s="1" t="s">
        <v>63</v>
      </c>
      <c r="D766" s="4">
        <v>0</v>
      </c>
      <c r="E766" s="4">
        <v>0</v>
      </c>
      <c r="F766" s="4">
        <v>0</v>
      </c>
      <c r="H766" s="68">
        <f t="shared" si="11"/>
        <v>0</v>
      </c>
    </row>
    <row r="767" spans="1:8" x14ac:dyDescent="0.2">
      <c r="A767" s="6">
        <v>766</v>
      </c>
      <c r="B767" s="1" t="s">
        <v>93</v>
      </c>
      <c r="C767" s="1" t="s">
        <v>64</v>
      </c>
      <c r="D767" s="4">
        <v>0</v>
      </c>
      <c r="E767" s="4">
        <v>0</v>
      </c>
      <c r="F767" s="4">
        <v>0</v>
      </c>
      <c r="H767" s="68">
        <f t="shared" si="11"/>
        <v>0</v>
      </c>
    </row>
    <row r="768" spans="1:8" x14ac:dyDescent="0.2">
      <c r="A768" s="7">
        <v>767</v>
      </c>
      <c r="B768" s="8" t="s">
        <v>93</v>
      </c>
      <c r="C768" s="8" t="s">
        <v>65</v>
      </c>
      <c r="D768" s="9">
        <v>1990.9160000000002</v>
      </c>
      <c r="E768" s="9">
        <v>1505.5839999999998</v>
      </c>
      <c r="F768" s="9">
        <v>3496.5</v>
      </c>
      <c r="H768" s="68">
        <f t="shared" si="11"/>
        <v>0.43059745459745458</v>
      </c>
    </row>
    <row r="769" spans="1:8" x14ac:dyDescent="0.2">
      <c r="A769" s="6">
        <v>768</v>
      </c>
      <c r="B769" s="1" t="s">
        <v>93</v>
      </c>
      <c r="C769" s="1" t="s">
        <v>33</v>
      </c>
      <c r="D769" s="4">
        <v>0.96884480213028323</v>
      </c>
      <c r="E769" s="4">
        <v>1</v>
      </c>
      <c r="F769" s="4">
        <v>0.98201892868517593</v>
      </c>
      <c r="H769" s="68">
        <f t="shared" si="11"/>
        <v>1.0183103103103104</v>
      </c>
    </row>
    <row r="770" spans="1:8" x14ac:dyDescent="0.2">
      <c r="A770" s="6">
        <v>769</v>
      </c>
      <c r="B770" s="1" t="s">
        <v>93</v>
      </c>
      <c r="C770" s="1" t="s">
        <v>66</v>
      </c>
      <c r="D770" s="4">
        <v>0</v>
      </c>
      <c r="E770" s="4">
        <v>0</v>
      </c>
      <c r="F770" s="4">
        <v>0</v>
      </c>
      <c r="H770" s="68">
        <f t="shared" si="11"/>
        <v>0</v>
      </c>
    </row>
    <row r="771" spans="1:8" x14ac:dyDescent="0.2">
      <c r="A771" s="6">
        <v>770</v>
      </c>
      <c r="B771" s="1" t="s">
        <v>93</v>
      </c>
      <c r="C771" s="1" t="s">
        <v>67</v>
      </c>
      <c r="D771" s="4">
        <v>0</v>
      </c>
      <c r="E771" s="4">
        <v>0</v>
      </c>
      <c r="F771" s="4">
        <v>0</v>
      </c>
      <c r="H771" s="68">
        <f t="shared" ref="H771:H834" si="12">IFERROR(E771/F771,0)</f>
        <v>0</v>
      </c>
    </row>
    <row r="772" spans="1:8" x14ac:dyDescent="0.2">
      <c r="A772" s="6">
        <v>771</v>
      </c>
      <c r="B772" s="1" t="s">
        <v>93</v>
      </c>
      <c r="C772" s="1" t="s">
        <v>68</v>
      </c>
      <c r="D772" s="4">
        <v>0</v>
      </c>
      <c r="E772" s="4">
        <v>0</v>
      </c>
      <c r="F772" s="4">
        <v>0</v>
      </c>
      <c r="H772" s="68">
        <f t="shared" si="12"/>
        <v>0</v>
      </c>
    </row>
    <row r="773" spans="1:8" x14ac:dyDescent="0.2">
      <c r="A773" s="6">
        <v>772</v>
      </c>
      <c r="B773" s="1" t="s">
        <v>93</v>
      </c>
      <c r="C773" s="1" t="s">
        <v>69</v>
      </c>
      <c r="D773" s="4">
        <v>0</v>
      </c>
      <c r="E773" s="4">
        <v>0</v>
      </c>
      <c r="F773" s="4">
        <v>0</v>
      </c>
      <c r="H773" s="68">
        <f t="shared" si="12"/>
        <v>0</v>
      </c>
    </row>
    <row r="774" spans="1:8" x14ac:dyDescent="0.2">
      <c r="A774" s="6">
        <v>773</v>
      </c>
      <c r="B774" s="1" t="s">
        <v>93</v>
      </c>
      <c r="C774" s="1" t="s">
        <v>70</v>
      </c>
      <c r="D774" s="4">
        <v>0</v>
      </c>
      <c r="E774" s="4">
        <v>0</v>
      </c>
      <c r="F774" s="4">
        <v>0</v>
      </c>
      <c r="H774" s="68">
        <f t="shared" si="12"/>
        <v>0</v>
      </c>
    </row>
    <row r="775" spans="1:8" x14ac:dyDescent="0.2">
      <c r="A775" s="6">
        <v>774</v>
      </c>
      <c r="B775" s="1" t="s">
        <v>93</v>
      </c>
      <c r="C775" s="1" t="s">
        <v>71</v>
      </c>
      <c r="D775" s="4">
        <v>0</v>
      </c>
      <c r="E775" s="4">
        <v>0</v>
      </c>
      <c r="F775" s="4">
        <v>0</v>
      </c>
      <c r="H775" s="68">
        <f t="shared" si="12"/>
        <v>0</v>
      </c>
    </row>
    <row r="776" spans="1:8" x14ac:dyDescent="0.2">
      <c r="A776" s="6">
        <v>775</v>
      </c>
      <c r="B776" s="1" t="s">
        <v>93</v>
      </c>
      <c r="C776" s="1" t="s">
        <v>72</v>
      </c>
      <c r="D776" s="4">
        <v>0</v>
      </c>
      <c r="E776" s="4">
        <v>0</v>
      </c>
      <c r="F776" s="4">
        <v>0</v>
      </c>
      <c r="H776" s="68">
        <f t="shared" si="12"/>
        <v>0</v>
      </c>
    </row>
    <row r="777" spans="1:8" x14ac:dyDescent="0.2">
      <c r="A777" s="6">
        <v>776</v>
      </c>
      <c r="B777" s="1" t="s">
        <v>93</v>
      </c>
      <c r="C777" s="1" t="s">
        <v>73</v>
      </c>
      <c r="D777" s="4">
        <v>0</v>
      </c>
      <c r="E777" s="4">
        <v>0</v>
      </c>
      <c r="F777" s="4">
        <v>0</v>
      </c>
      <c r="H777" s="68">
        <f t="shared" si="12"/>
        <v>0</v>
      </c>
    </row>
    <row r="778" spans="1:8" x14ac:dyDescent="0.2">
      <c r="A778" s="6">
        <v>777</v>
      </c>
      <c r="B778" s="1" t="s">
        <v>93</v>
      </c>
      <c r="C778" s="1" t="s">
        <v>74</v>
      </c>
      <c r="D778" s="4">
        <v>0</v>
      </c>
      <c r="E778" s="4">
        <v>0</v>
      </c>
      <c r="F778" s="4">
        <v>0</v>
      </c>
      <c r="H778" s="68">
        <f t="shared" si="12"/>
        <v>0</v>
      </c>
    </row>
    <row r="779" spans="1:8" x14ac:dyDescent="0.2">
      <c r="A779" s="6">
        <v>778</v>
      </c>
      <c r="B779" s="1" t="s">
        <v>93</v>
      </c>
      <c r="C779" s="1" t="s">
        <v>75</v>
      </c>
      <c r="D779" s="4">
        <v>0</v>
      </c>
      <c r="E779" s="4">
        <v>0</v>
      </c>
      <c r="F779" s="4">
        <v>0</v>
      </c>
      <c r="H779" s="68">
        <f t="shared" si="12"/>
        <v>0</v>
      </c>
    </row>
    <row r="780" spans="1:8" x14ac:dyDescent="0.2">
      <c r="A780" s="6">
        <v>779</v>
      </c>
      <c r="B780" s="1" t="s">
        <v>93</v>
      </c>
      <c r="C780" s="1" t="s">
        <v>76</v>
      </c>
      <c r="D780" s="4">
        <v>0</v>
      </c>
      <c r="E780" s="4">
        <v>0</v>
      </c>
      <c r="F780" s="4">
        <v>0</v>
      </c>
      <c r="H780" s="68">
        <f t="shared" si="12"/>
        <v>0</v>
      </c>
    </row>
    <row r="781" spans="1:8" x14ac:dyDescent="0.2">
      <c r="A781" s="6">
        <v>780</v>
      </c>
      <c r="B781" s="1" t="s">
        <v>93</v>
      </c>
      <c r="C781" s="1" t="s">
        <v>77</v>
      </c>
      <c r="D781" s="4">
        <v>0</v>
      </c>
      <c r="E781" s="4">
        <v>0</v>
      </c>
      <c r="F781" s="4">
        <v>0</v>
      </c>
      <c r="H781" s="68">
        <f t="shared" si="12"/>
        <v>0</v>
      </c>
    </row>
    <row r="782" spans="1:8" x14ac:dyDescent="0.2">
      <c r="A782" s="6">
        <v>781</v>
      </c>
      <c r="B782" s="1" t="s">
        <v>93</v>
      </c>
      <c r="C782" s="1" t="s">
        <v>78</v>
      </c>
      <c r="D782" s="4">
        <v>0</v>
      </c>
      <c r="E782" s="4">
        <v>0</v>
      </c>
      <c r="F782" s="4">
        <v>0</v>
      </c>
      <c r="H782" s="68">
        <f t="shared" si="12"/>
        <v>0</v>
      </c>
    </row>
    <row r="783" spans="1:8" x14ac:dyDescent="0.2">
      <c r="A783" s="7">
        <v>782</v>
      </c>
      <c r="B783" s="8" t="s">
        <v>93</v>
      </c>
      <c r="C783" s="8" t="s">
        <v>79</v>
      </c>
      <c r="D783" s="9">
        <v>0</v>
      </c>
      <c r="E783" s="9">
        <v>0</v>
      </c>
      <c r="F783" s="9">
        <v>0</v>
      </c>
      <c r="H783" s="68">
        <f t="shared" si="12"/>
        <v>0</v>
      </c>
    </row>
    <row r="784" spans="1:8" x14ac:dyDescent="0.2">
      <c r="A784" s="6">
        <v>783</v>
      </c>
      <c r="B784" s="1" t="s">
        <v>93</v>
      </c>
      <c r="C784" s="1" t="s">
        <v>33</v>
      </c>
      <c r="D784" s="4">
        <v>0</v>
      </c>
      <c r="E784" s="4">
        <v>0</v>
      </c>
      <c r="F784" s="4">
        <v>0</v>
      </c>
      <c r="H784" s="68">
        <f t="shared" si="12"/>
        <v>0</v>
      </c>
    </row>
    <row r="785" spans="1:8" x14ac:dyDescent="0.2">
      <c r="A785" s="6">
        <v>784</v>
      </c>
      <c r="B785" s="1" t="s">
        <v>93</v>
      </c>
      <c r="C785" s="1" t="s">
        <v>80</v>
      </c>
      <c r="D785" s="4">
        <v>0</v>
      </c>
      <c r="E785" s="4">
        <v>0</v>
      </c>
      <c r="F785" s="4">
        <v>0</v>
      </c>
      <c r="H785" s="68">
        <f t="shared" si="12"/>
        <v>0</v>
      </c>
    </row>
    <row r="786" spans="1:8" x14ac:dyDescent="0.2">
      <c r="A786" s="6">
        <v>785</v>
      </c>
      <c r="B786" s="1" t="s">
        <v>93</v>
      </c>
      <c r="C786" s="1" t="s">
        <v>81</v>
      </c>
      <c r="D786" s="4">
        <v>0</v>
      </c>
      <c r="E786" s="4">
        <v>0</v>
      </c>
      <c r="F786" s="4">
        <v>0</v>
      </c>
      <c r="H786" s="68">
        <f t="shared" si="12"/>
        <v>0</v>
      </c>
    </row>
    <row r="787" spans="1:8" x14ac:dyDescent="0.2">
      <c r="A787" s="6">
        <v>786</v>
      </c>
      <c r="B787" s="1" t="s">
        <v>93</v>
      </c>
      <c r="C787" s="1" t="s">
        <v>82</v>
      </c>
      <c r="D787" s="4">
        <v>0</v>
      </c>
      <c r="E787" s="4">
        <v>0</v>
      </c>
      <c r="F787" s="4">
        <v>0</v>
      </c>
      <c r="H787" s="68">
        <f t="shared" si="12"/>
        <v>0</v>
      </c>
    </row>
    <row r="788" spans="1:8" x14ac:dyDescent="0.2">
      <c r="A788" s="6">
        <v>787</v>
      </c>
      <c r="B788" s="1" t="s">
        <v>93</v>
      </c>
      <c r="C788" s="1" t="s">
        <v>83</v>
      </c>
      <c r="D788" s="4">
        <v>0</v>
      </c>
      <c r="E788" s="4">
        <v>0</v>
      </c>
      <c r="F788" s="4">
        <v>0</v>
      </c>
      <c r="H788" s="68">
        <f t="shared" si="12"/>
        <v>0</v>
      </c>
    </row>
    <row r="789" spans="1:8" x14ac:dyDescent="0.2">
      <c r="A789" s="6">
        <v>788</v>
      </c>
      <c r="B789" s="1" t="s">
        <v>93</v>
      </c>
      <c r="C789" s="1" t="s">
        <v>84</v>
      </c>
      <c r="D789" s="4">
        <v>0</v>
      </c>
      <c r="E789" s="4">
        <v>0</v>
      </c>
      <c r="F789" s="4">
        <v>0</v>
      </c>
      <c r="H789" s="68">
        <f t="shared" si="12"/>
        <v>0</v>
      </c>
    </row>
    <row r="790" spans="1:8" x14ac:dyDescent="0.2">
      <c r="A790" s="6">
        <v>789</v>
      </c>
      <c r="B790" s="1" t="s">
        <v>93</v>
      </c>
      <c r="C790" s="1" t="s">
        <v>85</v>
      </c>
      <c r="D790" s="4">
        <v>0</v>
      </c>
      <c r="E790" s="4">
        <v>0</v>
      </c>
      <c r="F790" s="4">
        <v>0</v>
      </c>
      <c r="H790" s="68">
        <f t="shared" si="12"/>
        <v>0</v>
      </c>
    </row>
    <row r="791" spans="1:8" x14ac:dyDescent="0.2">
      <c r="A791" s="7">
        <v>790</v>
      </c>
      <c r="B791" s="8" t="s">
        <v>93</v>
      </c>
      <c r="C791" s="8" t="s">
        <v>86</v>
      </c>
      <c r="D791" s="9">
        <v>0</v>
      </c>
      <c r="E791" s="9">
        <v>0</v>
      </c>
      <c r="F791" s="9">
        <v>0</v>
      </c>
      <c r="H791" s="68">
        <f t="shared" si="12"/>
        <v>0</v>
      </c>
    </row>
    <row r="792" spans="1:8" x14ac:dyDescent="0.2">
      <c r="A792" s="6">
        <v>791</v>
      </c>
      <c r="B792" s="1" t="s">
        <v>93</v>
      </c>
      <c r="C792" s="1" t="s">
        <v>33</v>
      </c>
      <c r="D792" s="4">
        <v>0</v>
      </c>
      <c r="E792" s="4">
        <v>0</v>
      </c>
      <c r="F792" s="4">
        <v>0</v>
      </c>
      <c r="H792" s="68">
        <f t="shared" si="12"/>
        <v>0</v>
      </c>
    </row>
    <row r="793" spans="1:8" x14ac:dyDescent="0.2">
      <c r="A793" s="6">
        <v>792</v>
      </c>
      <c r="B793" s="1" t="s">
        <v>93</v>
      </c>
      <c r="C793" s="1" t="s">
        <v>87</v>
      </c>
      <c r="D793" s="4">
        <v>0</v>
      </c>
      <c r="E793" s="4">
        <v>0</v>
      </c>
      <c r="F793" s="4">
        <v>0</v>
      </c>
      <c r="H793" s="68">
        <f t="shared" si="12"/>
        <v>0</v>
      </c>
    </row>
    <row r="794" spans="1:8" x14ac:dyDescent="0.2">
      <c r="A794" s="6">
        <v>793</v>
      </c>
      <c r="B794" s="1" t="s">
        <v>93</v>
      </c>
      <c r="C794" s="1" t="s">
        <v>88</v>
      </c>
      <c r="D794" s="4">
        <v>0</v>
      </c>
      <c r="E794" s="4">
        <v>0</v>
      </c>
      <c r="F794" s="4">
        <v>0</v>
      </c>
      <c r="H794" s="68">
        <f t="shared" si="12"/>
        <v>0</v>
      </c>
    </row>
    <row r="795" spans="1:8" x14ac:dyDescent="0.2">
      <c r="A795" s="7">
        <v>794</v>
      </c>
      <c r="B795" s="8" t="s">
        <v>93</v>
      </c>
      <c r="C795" s="8" t="s">
        <v>89</v>
      </c>
      <c r="D795" s="9">
        <v>0</v>
      </c>
      <c r="E795" s="9">
        <v>0</v>
      </c>
      <c r="F795" s="9">
        <v>0</v>
      </c>
      <c r="H795" s="68">
        <f t="shared" si="12"/>
        <v>0</v>
      </c>
    </row>
    <row r="796" spans="1:8" x14ac:dyDescent="0.2">
      <c r="A796" s="6">
        <v>795</v>
      </c>
      <c r="B796" s="1" t="s">
        <v>93</v>
      </c>
      <c r="C796" s="1" t="s">
        <v>33</v>
      </c>
      <c r="D796" s="4">
        <v>0</v>
      </c>
      <c r="E796" s="4">
        <v>0</v>
      </c>
      <c r="F796" s="4">
        <v>0</v>
      </c>
      <c r="H796" s="68">
        <f t="shared" si="12"/>
        <v>0</v>
      </c>
    </row>
    <row r="797" spans="1:8" x14ac:dyDescent="0.2">
      <c r="A797" s="6">
        <v>796</v>
      </c>
      <c r="B797" s="1" t="s">
        <v>93</v>
      </c>
      <c r="C797" s="1" t="s">
        <v>90</v>
      </c>
      <c r="D797" s="4">
        <v>36.649000000000001</v>
      </c>
      <c r="E797" s="4">
        <v>0</v>
      </c>
      <c r="F797" s="4">
        <v>36.649000000000001</v>
      </c>
      <c r="H797" s="68">
        <f t="shared" si="12"/>
        <v>0</v>
      </c>
    </row>
    <row r="798" spans="1:8" x14ac:dyDescent="0.2">
      <c r="A798" s="6">
        <v>797</v>
      </c>
      <c r="B798" s="1" t="s">
        <v>93</v>
      </c>
      <c r="C798" s="1" t="s">
        <v>33</v>
      </c>
      <c r="D798" s="4">
        <v>1.783460133590405E-2</v>
      </c>
      <c r="E798" s="4">
        <v>0</v>
      </c>
      <c r="F798" s="4">
        <v>1.0293153644325186E-2</v>
      </c>
      <c r="H798" s="68">
        <f t="shared" si="12"/>
        <v>0</v>
      </c>
    </row>
    <row r="799" spans="1:8" x14ac:dyDescent="0.2">
      <c r="A799" s="6">
        <v>798</v>
      </c>
      <c r="B799" s="1" t="s">
        <v>93</v>
      </c>
      <c r="C799" s="1" t="s">
        <v>91</v>
      </c>
      <c r="D799" s="4">
        <v>27.373000000000001</v>
      </c>
      <c r="E799" s="4">
        <v>0</v>
      </c>
      <c r="F799" s="4">
        <v>27.373000000000001</v>
      </c>
      <c r="H799" s="68">
        <f t="shared" si="12"/>
        <v>0</v>
      </c>
    </row>
    <row r="800" spans="1:8" x14ac:dyDescent="0.2">
      <c r="A800" s="6">
        <v>799</v>
      </c>
      <c r="B800" s="1" t="s">
        <v>93</v>
      </c>
      <c r="C800" s="1" t="s">
        <v>33</v>
      </c>
      <c r="D800" s="4">
        <v>1.3320596533812699E-2</v>
      </c>
      <c r="E800" s="4">
        <v>0</v>
      </c>
      <c r="F800" s="4">
        <v>7.6879176704988767E-3</v>
      </c>
      <c r="H800" s="68">
        <f t="shared" si="12"/>
        <v>0</v>
      </c>
    </row>
    <row r="801" spans="1:8" x14ac:dyDescent="0.2">
      <c r="A801" s="10">
        <v>800</v>
      </c>
      <c r="B801" s="11" t="s">
        <v>93</v>
      </c>
      <c r="C801" s="11" t="s">
        <v>2</v>
      </c>
      <c r="D801" s="12">
        <v>2054.9380000000001</v>
      </c>
      <c r="E801" s="12">
        <v>1505.5839999999998</v>
      </c>
      <c r="F801" s="12">
        <v>3560.5219999999999</v>
      </c>
      <c r="H801" s="68">
        <f t="shared" si="12"/>
        <v>0.42285485105835602</v>
      </c>
    </row>
    <row r="802" spans="1:8" x14ac:dyDescent="0.2">
      <c r="A802" s="6">
        <v>801</v>
      </c>
      <c r="B802" s="1" t="s">
        <v>12</v>
      </c>
      <c r="C802" s="1" t="s">
        <v>23</v>
      </c>
      <c r="D802" s="4">
        <v>266364.14</v>
      </c>
      <c r="E802" s="4">
        <v>253761.25</v>
      </c>
      <c r="F802" s="4">
        <v>520125.39</v>
      </c>
      <c r="H802" s="68">
        <f t="shared" si="12"/>
        <v>0.48788475794269531</v>
      </c>
    </row>
    <row r="803" spans="1:8" x14ac:dyDescent="0.2">
      <c r="A803" s="6">
        <v>802</v>
      </c>
      <c r="B803" s="1" t="s">
        <v>12</v>
      </c>
      <c r="C803" s="1" t="s">
        <v>24</v>
      </c>
      <c r="D803" s="4">
        <v>0</v>
      </c>
      <c r="E803" s="4">
        <v>0</v>
      </c>
      <c r="F803" s="4">
        <v>0</v>
      </c>
      <c r="H803" s="68">
        <f t="shared" si="12"/>
        <v>0</v>
      </c>
    </row>
    <row r="804" spans="1:8" x14ac:dyDescent="0.2">
      <c r="A804" s="6">
        <v>803</v>
      </c>
      <c r="B804" s="1" t="s">
        <v>12</v>
      </c>
      <c r="C804" s="1" t="s">
        <v>25</v>
      </c>
      <c r="D804" s="4">
        <v>0</v>
      </c>
      <c r="E804" s="4">
        <v>0</v>
      </c>
      <c r="F804" s="4">
        <v>0</v>
      </c>
      <c r="H804" s="68">
        <f t="shared" si="12"/>
        <v>0</v>
      </c>
    </row>
    <row r="805" spans="1:8" x14ac:dyDescent="0.2">
      <c r="A805" s="6">
        <v>804</v>
      </c>
      <c r="B805" s="1" t="s">
        <v>12</v>
      </c>
      <c r="C805" s="1" t="s">
        <v>26</v>
      </c>
      <c r="D805" s="4">
        <v>46705.599999999999</v>
      </c>
      <c r="E805" s="4">
        <v>171.7</v>
      </c>
      <c r="F805" s="4">
        <v>46877.299999999996</v>
      </c>
      <c r="H805" s="68">
        <f t="shared" si="12"/>
        <v>3.6627536142226622E-3</v>
      </c>
    </row>
    <row r="806" spans="1:8" x14ac:dyDescent="0.2">
      <c r="A806" s="6">
        <v>805</v>
      </c>
      <c r="B806" s="1" t="s">
        <v>12</v>
      </c>
      <c r="C806" s="1" t="s">
        <v>27</v>
      </c>
      <c r="D806" s="4">
        <v>8467.6</v>
      </c>
      <c r="E806" s="4">
        <v>23</v>
      </c>
      <c r="F806" s="4">
        <v>8490.6</v>
      </c>
      <c r="H806" s="68">
        <f t="shared" si="12"/>
        <v>2.7088780533766751E-3</v>
      </c>
    </row>
    <row r="807" spans="1:8" x14ac:dyDescent="0.2">
      <c r="A807" s="6">
        <v>806</v>
      </c>
      <c r="B807" s="1" t="s">
        <v>12</v>
      </c>
      <c r="C807" s="1" t="s">
        <v>28</v>
      </c>
      <c r="D807" s="4">
        <v>0</v>
      </c>
      <c r="E807" s="4">
        <v>0</v>
      </c>
      <c r="F807" s="4">
        <v>0</v>
      </c>
      <c r="H807" s="68">
        <f t="shared" si="12"/>
        <v>0</v>
      </c>
    </row>
    <row r="808" spans="1:8" x14ac:dyDescent="0.2">
      <c r="A808" s="6">
        <v>807</v>
      </c>
      <c r="B808" s="1" t="s">
        <v>12</v>
      </c>
      <c r="C808" s="1" t="s">
        <v>29</v>
      </c>
      <c r="D808" s="4">
        <v>4798.8</v>
      </c>
      <c r="E808" s="4">
        <v>1069.3</v>
      </c>
      <c r="F808" s="4">
        <v>5868.1</v>
      </c>
      <c r="H808" s="68">
        <f t="shared" si="12"/>
        <v>0.18222252517850751</v>
      </c>
    </row>
    <row r="809" spans="1:8" x14ac:dyDescent="0.2">
      <c r="A809" s="6">
        <v>808</v>
      </c>
      <c r="B809" s="1" t="s">
        <v>12</v>
      </c>
      <c r="C809" s="1" t="s">
        <v>30</v>
      </c>
      <c r="D809" s="4">
        <v>44289.74</v>
      </c>
      <c r="E809" s="4">
        <v>26086.3</v>
      </c>
      <c r="F809" s="4">
        <v>70376.039999999994</v>
      </c>
      <c r="H809" s="68">
        <f t="shared" si="12"/>
        <v>0.37067018831977477</v>
      </c>
    </row>
    <row r="810" spans="1:8" x14ac:dyDescent="0.2">
      <c r="A810" s="6">
        <v>809</v>
      </c>
      <c r="B810" s="1" t="s">
        <v>12</v>
      </c>
      <c r="C810" s="1" t="s">
        <v>31</v>
      </c>
      <c r="D810" s="4">
        <v>0</v>
      </c>
      <c r="E810" s="4">
        <v>0</v>
      </c>
      <c r="F810" s="4">
        <v>0</v>
      </c>
      <c r="H810" s="68">
        <f t="shared" si="12"/>
        <v>0</v>
      </c>
    </row>
    <row r="811" spans="1:8" x14ac:dyDescent="0.2">
      <c r="A811" s="7">
        <v>810</v>
      </c>
      <c r="B811" s="8" t="s">
        <v>12</v>
      </c>
      <c r="C811" s="8" t="s">
        <v>32</v>
      </c>
      <c r="D811" s="9">
        <v>370625.87999999995</v>
      </c>
      <c r="E811" s="9">
        <v>281111.55</v>
      </c>
      <c r="F811" s="9">
        <v>651737.42999999993</v>
      </c>
      <c r="H811" s="68">
        <f t="shared" si="12"/>
        <v>0.4313263855353528</v>
      </c>
    </row>
    <row r="812" spans="1:8" x14ac:dyDescent="0.2">
      <c r="A812" s="6">
        <v>811</v>
      </c>
      <c r="B812" s="1" t="s">
        <v>12</v>
      </c>
      <c r="C812" s="1" t="s">
        <v>33</v>
      </c>
      <c r="D812" s="4">
        <v>0.53474517362696283</v>
      </c>
      <c r="E812" s="4">
        <v>0.12799582616886668</v>
      </c>
      <c r="F812" s="4">
        <v>0.22556585310886335</v>
      </c>
      <c r="H812" s="68">
        <f t="shared" si="12"/>
        <v>0.56744327390322202</v>
      </c>
    </row>
    <row r="813" spans="1:8" x14ac:dyDescent="0.2">
      <c r="A813" s="6">
        <v>812</v>
      </c>
      <c r="B813" s="1" t="s">
        <v>12</v>
      </c>
      <c r="C813" s="1" t="s">
        <v>34</v>
      </c>
      <c r="D813" s="4">
        <v>7413.5</v>
      </c>
      <c r="E813" s="4">
        <v>54772</v>
      </c>
      <c r="F813" s="4">
        <v>62185.5</v>
      </c>
      <c r="H813" s="68">
        <f t="shared" si="12"/>
        <v>0.88078410561947718</v>
      </c>
    </row>
    <row r="814" spans="1:8" x14ac:dyDescent="0.2">
      <c r="A814" s="6">
        <v>813</v>
      </c>
      <c r="B814" s="1" t="s">
        <v>12</v>
      </c>
      <c r="C814" s="1" t="s">
        <v>35</v>
      </c>
      <c r="D814" s="4">
        <v>22944.1</v>
      </c>
      <c r="E814" s="4">
        <v>186624.7</v>
      </c>
      <c r="F814" s="4">
        <v>209568.80000000002</v>
      </c>
      <c r="H814" s="68">
        <f t="shared" si="12"/>
        <v>0.8905175770439111</v>
      </c>
    </row>
    <row r="815" spans="1:8" x14ac:dyDescent="0.2">
      <c r="A815" s="6">
        <v>814</v>
      </c>
      <c r="B815" s="1" t="s">
        <v>12</v>
      </c>
      <c r="C815" s="1" t="s">
        <v>36</v>
      </c>
      <c r="D815" s="4">
        <v>0</v>
      </c>
      <c r="E815" s="4">
        <v>0</v>
      </c>
      <c r="F815" s="4">
        <v>0</v>
      </c>
      <c r="H815" s="68">
        <f t="shared" si="12"/>
        <v>0</v>
      </c>
    </row>
    <row r="816" spans="1:8" x14ac:dyDescent="0.2">
      <c r="A816" s="6">
        <v>815</v>
      </c>
      <c r="B816" s="1" t="s">
        <v>12</v>
      </c>
      <c r="C816" s="1" t="s">
        <v>37</v>
      </c>
      <c r="D816" s="4">
        <v>14992.9</v>
      </c>
      <c r="E816" s="4">
        <v>11764.9</v>
      </c>
      <c r="F816" s="4">
        <v>26757.8</v>
      </c>
      <c r="H816" s="68">
        <f t="shared" si="12"/>
        <v>0.43968113970505796</v>
      </c>
    </row>
    <row r="817" spans="1:8" x14ac:dyDescent="0.2">
      <c r="A817" s="7">
        <v>816</v>
      </c>
      <c r="B817" s="8" t="s">
        <v>12</v>
      </c>
      <c r="C817" s="8" t="s">
        <v>38</v>
      </c>
      <c r="D817" s="9">
        <v>45350.5</v>
      </c>
      <c r="E817" s="9">
        <v>253161.60000000001</v>
      </c>
      <c r="F817" s="9">
        <v>298512.09999999998</v>
      </c>
      <c r="H817" s="68">
        <f t="shared" si="12"/>
        <v>0.84807818510539446</v>
      </c>
    </row>
    <row r="818" spans="1:8" x14ac:dyDescent="0.2">
      <c r="A818" s="6">
        <v>817</v>
      </c>
      <c r="B818" s="1" t="s">
        <v>12</v>
      </c>
      <c r="C818" s="1" t="s">
        <v>33</v>
      </c>
      <c r="D818" s="4">
        <v>6.5432454410818755E-2</v>
      </c>
      <c r="E818" s="4">
        <v>0.11526964347865522</v>
      </c>
      <c r="F818" s="4">
        <v>0.10331482189049404</v>
      </c>
      <c r="H818" s="68">
        <f t="shared" si="12"/>
        <v>1.1157125509138697</v>
      </c>
    </row>
    <row r="819" spans="1:8" x14ac:dyDescent="0.2">
      <c r="A819" s="6">
        <v>818</v>
      </c>
      <c r="B819" s="1" t="s">
        <v>12</v>
      </c>
      <c r="C819" s="1" t="s">
        <v>39</v>
      </c>
      <c r="D819" s="4">
        <v>8891.4</v>
      </c>
      <c r="E819" s="4">
        <v>147141</v>
      </c>
      <c r="F819" s="4">
        <v>156032.4</v>
      </c>
      <c r="H819" s="68">
        <f t="shared" si="12"/>
        <v>0.94301568135848712</v>
      </c>
    </row>
    <row r="820" spans="1:8" x14ac:dyDescent="0.2">
      <c r="A820" s="6">
        <v>819</v>
      </c>
      <c r="B820" s="1" t="s">
        <v>12</v>
      </c>
      <c r="C820" s="1" t="s">
        <v>40</v>
      </c>
      <c r="D820" s="4">
        <v>1890.2</v>
      </c>
      <c r="E820" s="4">
        <v>3347.5</v>
      </c>
      <c r="F820" s="4">
        <v>5237.7</v>
      </c>
      <c r="H820" s="68">
        <f t="shared" si="12"/>
        <v>0.63911640605609332</v>
      </c>
    </row>
    <row r="821" spans="1:8" x14ac:dyDescent="0.2">
      <c r="A821" s="6">
        <v>820</v>
      </c>
      <c r="B821" s="1" t="s">
        <v>12</v>
      </c>
      <c r="C821" s="1" t="s">
        <v>41</v>
      </c>
      <c r="D821" s="4">
        <v>0</v>
      </c>
      <c r="E821" s="4">
        <v>0</v>
      </c>
      <c r="F821" s="4">
        <v>0</v>
      </c>
      <c r="H821" s="68">
        <f t="shared" si="12"/>
        <v>0</v>
      </c>
    </row>
    <row r="822" spans="1:8" x14ac:dyDescent="0.2">
      <c r="A822" s="6">
        <v>821</v>
      </c>
      <c r="B822" s="1" t="s">
        <v>12</v>
      </c>
      <c r="C822" s="1" t="s">
        <v>42</v>
      </c>
      <c r="D822" s="4">
        <v>2576.1</v>
      </c>
      <c r="E822" s="4">
        <v>107842.3</v>
      </c>
      <c r="F822" s="4">
        <v>110418.40000000001</v>
      </c>
      <c r="H822" s="68">
        <f t="shared" si="12"/>
        <v>0.97666964926135491</v>
      </c>
    </row>
    <row r="823" spans="1:8" x14ac:dyDescent="0.2">
      <c r="A823" s="6">
        <v>822</v>
      </c>
      <c r="B823" s="1" t="s">
        <v>12</v>
      </c>
      <c r="C823" s="1" t="s">
        <v>43</v>
      </c>
      <c r="D823" s="4">
        <v>0</v>
      </c>
      <c r="E823" s="4">
        <v>0</v>
      </c>
      <c r="F823" s="4">
        <v>0</v>
      </c>
      <c r="H823" s="68">
        <f t="shared" si="12"/>
        <v>0</v>
      </c>
    </row>
    <row r="824" spans="1:8" x14ac:dyDescent="0.2">
      <c r="A824" s="6">
        <v>823</v>
      </c>
      <c r="B824" s="1" t="s">
        <v>12</v>
      </c>
      <c r="C824" s="1" t="s">
        <v>44</v>
      </c>
      <c r="D824" s="4">
        <v>425.1</v>
      </c>
      <c r="E824" s="4">
        <v>341.5</v>
      </c>
      <c r="F824" s="4">
        <v>766.6</v>
      </c>
      <c r="H824" s="68">
        <f t="shared" si="12"/>
        <v>0.44547351943647273</v>
      </c>
    </row>
    <row r="825" spans="1:8" x14ac:dyDescent="0.2">
      <c r="A825" s="7">
        <v>824</v>
      </c>
      <c r="B825" s="8" t="s">
        <v>12</v>
      </c>
      <c r="C825" s="8" t="s">
        <v>45</v>
      </c>
      <c r="D825" s="9">
        <v>13782.800000000001</v>
      </c>
      <c r="E825" s="9">
        <v>258672.3</v>
      </c>
      <c r="F825" s="9">
        <v>272455.09999999998</v>
      </c>
      <c r="H825" s="68">
        <f t="shared" si="12"/>
        <v>0.94941258210985957</v>
      </c>
    </row>
    <row r="826" spans="1:8" x14ac:dyDescent="0.2">
      <c r="A826" s="6">
        <v>825</v>
      </c>
      <c r="B826" s="1" t="s">
        <v>12</v>
      </c>
      <c r="C826" s="1" t="s">
        <v>33</v>
      </c>
      <c r="D826" s="4">
        <v>1.9886052692989774E-2</v>
      </c>
      <c r="E826" s="4">
        <v>0.11777877766139787</v>
      </c>
      <c r="F826" s="4">
        <v>9.4296513038020044E-2</v>
      </c>
      <c r="H826" s="68">
        <f t="shared" si="12"/>
        <v>1.2490258002849994</v>
      </c>
    </row>
    <row r="827" spans="1:8" x14ac:dyDescent="0.2">
      <c r="A827" s="6">
        <v>826</v>
      </c>
      <c r="B827" s="1" t="s">
        <v>12</v>
      </c>
      <c r="C827" s="1" t="s">
        <v>46</v>
      </c>
      <c r="D827" s="4">
        <v>19346</v>
      </c>
      <c r="E827" s="4">
        <v>8293.2000000000007</v>
      </c>
      <c r="F827" s="4">
        <v>27639.200000000001</v>
      </c>
      <c r="H827" s="68">
        <f t="shared" si="12"/>
        <v>0.30005209991606124</v>
      </c>
    </row>
    <row r="828" spans="1:8" x14ac:dyDescent="0.2">
      <c r="A828" s="6">
        <v>827</v>
      </c>
      <c r="B828" s="1" t="s">
        <v>12</v>
      </c>
      <c r="C828" s="1" t="s">
        <v>47</v>
      </c>
      <c r="D828" s="4">
        <v>22430.6</v>
      </c>
      <c r="E828" s="4">
        <v>664.2</v>
      </c>
      <c r="F828" s="4">
        <v>23094.799999999999</v>
      </c>
      <c r="H828" s="68">
        <f t="shared" si="12"/>
        <v>2.8759720802951316E-2</v>
      </c>
    </row>
    <row r="829" spans="1:8" x14ac:dyDescent="0.2">
      <c r="A829" s="6">
        <v>828</v>
      </c>
      <c r="B829" s="1" t="s">
        <v>12</v>
      </c>
      <c r="C829" s="1" t="s">
        <v>48</v>
      </c>
      <c r="D829" s="4">
        <v>281.89999999999998</v>
      </c>
      <c r="E829" s="4">
        <v>11.8</v>
      </c>
      <c r="F829" s="4">
        <v>293.7</v>
      </c>
      <c r="H829" s="68">
        <f t="shared" si="12"/>
        <v>4.0177051413006475E-2</v>
      </c>
    </row>
    <row r="830" spans="1:8" x14ac:dyDescent="0.2">
      <c r="A830" s="6">
        <v>829</v>
      </c>
      <c r="B830" s="1" t="s">
        <v>12</v>
      </c>
      <c r="C830" s="1" t="s">
        <v>49</v>
      </c>
      <c r="D830" s="4">
        <v>54088</v>
      </c>
      <c r="E830" s="4">
        <v>954779.9</v>
      </c>
      <c r="F830" s="4">
        <v>1008867.9</v>
      </c>
      <c r="H830" s="68">
        <f t="shared" si="12"/>
        <v>0.94638743090150856</v>
      </c>
    </row>
    <row r="831" spans="1:8" x14ac:dyDescent="0.2">
      <c r="A831" s="6">
        <v>830</v>
      </c>
      <c r="B831" s="1" t="s">
        <v>12</v>
      </c>
      <c r="C831" s="1" t="s">
        <v>50</v>
      </c>
      <c r="D831" s="4">
        <v>3261.4</v>
      </c>
      <c r="E831" s="4">
        <v>590.20000000000005</v>
      </c>
      <c r="F831" s="4">
        <v>3851.6000000000004</v>
      </c>
      <c r="H831" s="68">
        <f t="shared" si="12"/>
        <v>0.15323501921279467</v>
      </c>
    </row>
    <row r="832" spans="1:8" x14ac:dyDescent="0.2">
      <c r="A832" s="7">
        <v>831</v>
      </c>
      <c r="B832" s="8" t="s">
        <v>12</v>
      </c>
      <c r="C832" s="8" t="s">
        <v>51</v>
      </c>
      <c r="D832" s="9">
        <v>99407.9</v>
      </c>
      <c r="E832" s="9">
        <v>964339.29999999993</v>
      </c>
      <c r="F832" s="9">
        <v>1063747.2</v>
      </c>
      <c r="H832" s="68">
        <f t="shared" si="12"/>
        <v>0.90654931923675097</v>
      </c>
    </row>
    <row r="833" spans="1:8" x14ac:dyDescent="0.2">
      <c r="A833" s="6">
        <v>832</v>
      </c>
      <c r="B833" s="1" t="s">
        <v>12</v>
      </c>
      <c r="C833" s="1" t="s">
        <v>33</v>
      </c>
      <c r="D833" s="4">
        <v>0.14342736871313944</v>
      </c>
      <c r="E833" s="4">
        <v>0.43908336534235809</v>
      </c>
      <c r="F833" s="4">
        <v>0.36816213649132395</v>
      </c>
      <c r="H833" s="68">
        <f t="shared" si="12"/>
        <v>1.1926358574701108</v>
      </c>
    </row>
    <row r="834" spans="1:8" x14ac:dyDescent="0.2">
      <c r="A834" s="6">
        <v>833</v>
      </c>
      <c r="B834" s="1" t="s">
        <v>12</v>
      </c>
      <c r="C834" s="1" t="s">
        <v>52</v>
      </c>
      <c r="D834" s="4">
        <v>2759.8</v>
      </c>
      <c r="E834" s="4">
        <v>8299.25</v>
      </c>
      <c r="F834" s="4">
        <v>11059.05</v>
      </c>
      <c r="H834" s="68">
        <f t="shared" si="12"/>
        <v>0.75044872751276104</v>
      </c>
    </row>
    <row r="835" spans="1:8" x14ac:dyDescent="0.2">
      <c r="A835" s="6">
        <v>834</v>
      </c>
      <c r="B835" s="1" t="s">
        <v>12</v>
      </c>
      <c r="C835" s="1" t="s">
        <v>53</v>
      </c>
      <c r="D835" s="4">
        <v>2232.5</v>
      </c>
      <c r="E835" s="4">
        <v>118.3</v>
      </c>
      <c r="F835" s="4">
        <v>2350.8000000000002</v>
      </c>
      <c r="H835" s="68">
        <f t="shared" ref="H835:H898" si="13">IFERROR(E835/F835,0)</f>
        <v>5.0323294197719921E-2</v>
      </c>
    </row>
    <row r="836" spans="1:8" x14ac:dyDescent="0.2">
      <c r="A836" s="6">
        <v>835</v>
      </c>
      <c r="B836" s="1" t="s">
        <v>12</v>
      </c>
      <c r="C836" s="1" t="s">
        <v>54</v>
      </c>
      <c r="D836" s="4">
        <v>3271.9</v>
      </c>
      <c r="E836" s="4">
        <v>34.799999999999997</v>
      </c>
      <c r="F836" s="4">
        <v>3306.7000000000003</v>
      </c>
      <c r="H836" s="68">
        <f t="shared" si="13"/>
        <v>1.0524087458795777E-2</v>
      </c>
    </row>
    <row r="837" spans="1:8" x14ac:dyDescent="0.2">
      <c r="A837" s="6">
        <v>836</v>
      </c>
      <c r="B837" s="1" t="s">
        <v>12</v>
      </c>
      <c r="C837" s="1" t="s">
        <v>55</v>
      </c>
      <c r="D837" s="4">
        <v>1656</v>
      </c>
      <c r="E837" s="4">
        <v>228.3</v>
      </c>
      <c r="F837" s="4">
        <v>1884.3</v>
      </c>
      <c r="H837" s="68">
        <f t="shared" si="13"/>
        <v>0.12115905110651171</v>
      </c>
    </row>
    <row r="838" spans="1:8" x14ac:dyDescent="0.2">
      <c r="A838" s="6">
        <v>837</v>
      </c>
      <c r="B838" s="1" t="s">
        <v>12</v>
      </c>
      <c r="C838" s="1" t="s">
        <v>56</v>
      </c>
      <c r="D838" s="4">
        <v>27126.3</v>
      </c>
      <c r="E838" s="4">
        <v>136579.9</v>
      </c>
      <c r="F838" s="4">
        <v>163706.19999999998</v>
      </c>
      <c r="H838" s="68">
        <f t="shared" si="13"/>
        <v>0.83429888422063436</v>
      </c>
    </row>
    <row r="839" spans="1:8" x14ac:dyDescent="0.2">
      <c r="A839" s="6">
        <v>838</v>
      </c>
      <c r="B839" s="1" t="s">
        <v>12</v>
      </c>
      <c r="C839" s="1" t="s">
        <v>57</v>
      </c>
      <c r="D839" s="4">
        <v>3122.7</v>
      </c>
      <c r="E839" s="4">
        <v>13424.7</v>
      </c>
      <c r="F839" s="4">
        <v>16547.400000000001</v>
      </c>
      <c r="H839" s="68">
        <f t="shared" si="13"/>
        <v>0.81128757387867578</v>
      </c>
    </row>
    <row r="840" spans="1:8" x14ac:dyDescent="0.2">
      <c r="A840" s="6">
        <v>839</v>
      </c>
      <c r="B840" s="1" t="s">
        <v>12</v>
      </c>
      <c r="C840" s="1" t="s">
        <v>58</v>
      </c>
      <c r="D840" s="4">
        <v>9146.2000000000007</v>
      </c>
      <c r="E840" s="4">
        <v>1067.8</v>
      </c>
      <c r="F840" s="4">
        <v>10214</v>
      </c>
      <c r="H840" s="68">
        <f t="shared" si="13"/>
        <v>0.10454278441355003</v>
      </c>
    </row>
    <row r="841" spans="1:8" x14ac:dyDescent="0.2">
      <c r="A841" s="7">
        <v>840</v>
      </c>
      <c r="B841" s="8" t="s">
        <v>12</v>
      </c>
      <c r="C841" s="8" t="s">
        <v>59</v>
      </c>
      <c r="D841" s="9">
        <v>49315.399999999994</v>
      </c>
      <c r="E841" s="9">
        <v>159753.04999999999</v>
      </c>
      <c r="F841" s="9">
        <v>209068.44999999998</v>
      </c>
      <c r="H841" s="68">
        <f t="shared" si="13"/>
        <v>0.76411840237013284</v>
      </c>
    </row>
    <row r="842" spans="1:8" x14ac:dyDescent="0.2">
      <c r="A842" s="6">
        <v>841</v>
      </c>
      <c r="B842" s="1" t="s">
        <v>12</v>
      </c>
      <c r="C842" s="1" t="s">
        <v>33</v>
      </c>
      <c r="D842" s="4">
        <v>7.1153077964990263E-2</v>
      </c>
      <c r="E842" s="4">
        <v>7.2738824206071459E-2</v>
      </c>
      <c r="F842" s="4">
        <v>7.2358439321795198E-2</v>
      </c>
      <c r="H842" s="68">
        <f t="shared" si="13"/>
        <v>1.005256952579983</v>
      </c>
    </row>
    <row r="843" spans="1:8" x14ac:dyDescent="0.2">
      <c r="A843" s="6">
        <v>842</v>
      </c>
      <c r="B843" s="1" t="s">
        <v>12</v>
      </c>
      <c r="C843" s="1" t="s">
        <v>60</v>
      </c>
      <c r="D843" s="4">
        <v>7902.3</v>
      </c>
      <c r="E843" s="4">
        <v>2488.6</v>
      </c>
      <c r="F843" s="4">
        <v>10390.9</v>
      </c>
      <c r="H843" s="68">
        <f t="shared" si="13"/>
        <v>0.23949802230798103</v>
      </c>
    </row>
    <row r="844" spans="1:8" x14ac:dyDescent="0.2">
      <c r="A844" s="6">
        <v>843</v>
      </c>
      <c r="B844" s="1" t="s">
        <v>12</v>
      </c>
      <c r="C844" s="1" t="s">
        <v>61</v>
      </c>
      <c r="D844" s="4">
        <v>0</v>
      </c>
      <c r="E844" s="4">
        <v>0</v>
      </c>
      <c r="F844" s="4">
        <v>0</v>
      </c>
      <c r="H844" s="68">
        <f t="shared" si="13"/>
        <v>0</v>
      </c>
    </row>
    <row r="845" spans="1:8" x14ac:dyDescent="0.2">
      <c r="A845" s="6">
        <v>844</v>
      </c>
      <c r="B845" s="1" t="s">
        <v>12</v>
      </c>
      <c r="C845" s="1" t="s">
        <v>62</v>
      </c>
      <c r="D845" s="4">
        <v>32464.2</v>
      </c>
      <c r="E845" s="4">
        <v>28408.1</v>
      </c>
      <c r="F845" s="4">
        <v>60872.3</v>
      </c>
      <c r="H845" s="68">
        <f t="shared" si="13"/>
        <v>0.4666835325755721</v>
      </c>
    </row>
    <row r="846" spans="1:8" x14ac:dyDescent="0.2">
      <c r="A846" s="6">
        <v>845</v>
      </c>
      <c r="B846" s="1" t="s">
        <v>12</v>
      </c>
      <c r="C846" s="1" t="s">
        <v>63</v>
      </c>
      <c r="D846" s="4">
        <v>311.60000000000002</v>
      </c>
      <c r="E846" s="4">
        <v>0</v>
      </c>
      <c r="F846" s="4">
        <v>311.60000000000002</v>
      </c>
      <c r="H846" s="68">
        <f t="shared" si="13"/>
        <v>0</v>
      </c>
    </row>
    <row r="847" spans="1:8" x14ac:dyDescent="0.2">
      <c r="A847" s="6">
        <v>846</v>
      </c>
      <c r="B847" s="1" t="s">
        <v>12</v>
      </c>
      <c r="C847" s="1" t="s">
        <v>64</v>
      </c>
      <c r="D847" s="4">
        <v>8159.2</v>
      </c>
      <c r="E847" s="4">
        <v>49.7</v>
      </c>
      <c r="F847" s="4">
        <v>8208.9</v>
      </c>
      <c r="H847" s="68">
        <f t="shared" si="13"/>
        <v>6.0544043659930078E-3</v>
      </c>
    </row>
    <row r="848" spans="1:8" x14ac:dyDescent="0.2">
      <c r="A848" s="7">
        <v>847</v>
      </c>
      <c r="B848" s="8" t="s">
        <v>12</v>
      </c>
      <c r="C848" s="8" t="s">
        <v>65</v>
      </c>
      <c r="D848" s="9">
        <v>48837.299999999996</v>
      </c>
      <c r="E848" s="9">
        <v>30946.399999999998</v>
      </c>
      <c r="F848" s="9">
        <v>79783.7</v>
      </c>
      <c r="H848" s="68">
        <f t="shared" si="13"/>
        <v>0.38787872710841936</v>
      </c>
    </row>
    <row r="849" spans="1:8" x14ac:dyDescent="0.2">
      <c r="A849" s="6">
        <v>848</v>
      </c>
      <c r="B849" s="1" t="s">
        <v>12</v>
      </c>
      <c r="C849" s="1" t="s">
        <v>33</v>
      </c>
      <c r="D849" s="4">
        <v>7.0463267346500671E-2</v>
      </c>
      <c r="E849" s="4">
        <v>1.4090527532405608E-2</v>
      </c>
      <c r="F849" s="4">
        <v>2.761308086092527E-2</v>
      </c>
      <c r="H849" s="68">
        <f t="shared" si="13"/>
        <v>0.51028451346567549</v>
      </c>
    </row>
    <row r="850" spans="1:8" x14ac:dyDescent="0.2">
      <c r="A850" s="6">
        <v>849</v>
      </c>
      <c r="B850" s="1" t="s">
        <v>12</v>
      </c>
      <c r="C850" s="1" t="s">
        <v>66</v>
      </c>
      <c r="D850" s="4">
        <v>2625.7</v>
      </c>
      <c r="E850" s="4">
        <v>546</v>
      </c>
      <c r="F850" s="4">
        <v>3171.7</v>
      </c>
      <c r="H850" s="68">
        <f t="shared" si="13"/>
        <v>0.17214742882365924</v>
      </c>
    </row>
    <row r="851" spans="1:8" x14ac:dyDescent="0.2">
      <c r="A851" s="6">
        <v>850</v>
      </c>
      <c r="B851" s="1" t="s">
        <v>12</v>
      </c>
      <c r="C851" s="1" t="s">
        <v>67</v>
      </c>
      <c r="D851" s="4">
        <v>8563.2999999999993</v>
      </c>
      <c r="E851" s="4">
        <v>13368.9</v>
      </c>
      <c r="F851" s="4">
        <v>21932.199999999997</v>
      </c>
      <c r="H851" s="68">
        <f t="shared" si="13"/>
        <v>0.60955581291434513</v>
      </c>
    </row>
    <row r="852" spans="1:8" x14ac:dyDescent="0.2">
      <c r="A852" s="6">
        <v>851</v>
      </c>
      <c r="B852" s="1" t="s">
        <v>12</v>
      </c>
      <c r="C852" s="1" t="s">
        <v>68</v>
      </c>
      <c r="D852" s="4">
        <v>1299.4000000000001</v>
      </c>
      <c r="E852" s="4">
        <v>20562.8</v>
      </c>
      <c r="F852" s="4">
        <v>21862.2</v>
      </c>
      <c r="H852" s="68">
        <f t="shared" si="13"/>
        <v>0.94056407863801439</v>
      </c>
    </row>
    <row r="853" spans="1:8" x14ac:dyDescent="0.2">
      <c r="A853" s="6">
        <v>852</v>
      </c>
      <c r="B853" s="1" t="s">
        <v>12</v>
      </c>
      <c r="C853" s="1" t="s">
        <v>69</v>
      </c>
      <c r="D853" s="4">
        <v>2057.6</v>
      </c>
      <c r="E853" s="4">
        <v>1696.4</v>
      </c>
      <c r="F853" s="4">
        <v>3754</v>
      </c>
      <c r="H853" s="68">
        <f t="shared" si="13"/>
        <v>0.45189131592967502</v>
      </c>
    </row>
    <row r="854" spans="1:8" x14ac:dyDescent="0.2">
      <c r="A854" s="6">
        <v>853</v>
      </c>
      <c r="B854" s="1" t="s">
        <v>12</v>
      </c>
      <c r="C854" s="1" t="s">
        <v>70</v>
      </c>
      <c r="D854" s="4">
        <v>21516.7</v>
      </c>
      <c r="E854" s="4">
        <v>7092.2</v>
      </c>
      <c r="F854" s="4">
        <v>28608.9</v>
      </c>
      <c r="H854" s="68">
        <f t="shared" si="13"/>
        <v>0.24790187668872271</v>
      </c>
    </row>
    <row r="855" spans="1:8" x14ac:dyDescent="0.2">
      <c r="A855" s="6">
        <v>854</v>
      </c>
      <c r="B855" s="1" t="s">
        <v>12</v>
      </c>
      <c r="C855" s="1" t="s">
        <v>71</v>
      </c>
      <c r="D855" s="4">
        <v>0</v>
      </c>
      <c r="E855" s="4">
        <v>0</v>
      </c>
      <c r="F855" s="4">
        <v>0</v>
      </c>
      <c r="H855" s="68">
        <f t="shared" si="13"/>
        <v>0</v>
      </c>
    </row>
    <row r="856" spans="1:8" x14ac:dyDescent="0.2">
      <c r="A856" s="6">
        <v>855</v>
      </c>
      <c r="B856" s="1" t="s">
        <v>12</v>
      </c>
      <c r="C856" s="1" t="s">
        <v>72</v>
      </c>
      <c r="D856" s="4">
        <v>525.79999999999995</v>
      </c>
      <c r="E856" s="4">
        <v>19605.5</v>
      </c>
      <c r="F856" s="4">
        <v>20131.3</v>
      </c>
      <c r="H856" s="68">
        <f t="shared" si="13"/>
        <v>0.97388146816151966</v>
      </c>
    </row>
    <row r="857" spans="1:8" x14ac:dyDescent="0.2">
      <c r="A857" s="6">
        <v>856</v>
      </c>
      <c r="B857" s="1" t="s">
        <v>12</v>
      </c>
      <c r="C857" s="1" t="s">
        <v>73</v>
      </c>
      <c r="D857" s="4">
        <v>5183.3999999999996</v>
      </c>
      <c r="E857" s="4">
        <v>73227.5</v>
      </c>
      <c r="F857" s="4">
        <v>78410.899999999994</v>
      </c>
      <c r="H857" s="68">
        <f t="shared" si="13"/>
        <v>0.93389439478439862</v>
      </c>
    </row>
    <row r="858" spans="1:8" x14ac:dyDescent="0.2">
      <c r="A858" s="6">
        <v>857</v>
      </c>
      <c r="B858" s="1" t="s">
        <v>12</v>
      </c>
      <c r="C858" s="1" t="s">
        <v>74</v>
      </c>
      <c r="D858" s="4">
        <v>9586.1</v>
      </c>
      <c r="E858" s="4">
        <v>4139</v>
      </c>
      <c r="F858" s="4">
        <v>13725.1</v>
      </c>
      <c r="H858" s="68">
        <f t="shared" si="13"/>
        <v>0.30156428732759688</v>
      </c>
    </row>
    <row r="859" spans="1:8" x14ac:dyDescent="0.2">
      <c r="A859" s="6">
        <v>858</v>
      </c>
      <c r="B859" s="1" t="s">
        <v>12</v>
      </c>
      <c r="C859" s="1" t="s">
        <v>75</v>
      </c>
      <c r="D859" s="4">
        <v>0</v>
      </c>
      <c r="E859" s="4">
        <v>43</v>
      </c>
      <c r="F859" s="4">
        <v>43</v>
      </c>
      <c r="H859" s="68">
        <f t="shared" si="13"/>
        <v>1</v>
      </c>
    </row>
    <row r="860" spans="1:8" x14ac:dyDescent="0.2">
      <c r="A860" s="6">
        <v>859</v>
      </c>
      <c r="B860" s="1" t="s">
        <v>12</v>
      </c>
      <c r="C860" s="1" t="s">
        <v>76</v>
      </c>
      <c r="D860" s="4">
        <v>3209.6</v>
      </c>
      <c r="E860" s="4">
        <v>965.4</v>
      </c>
      <c r="F860" s="4">
        <v>4175</v>
      </c>
      <c r="H860" s="68">
        <f t="shared" si="13"/>
        <v>0.23123353293413174</v>
      </c>
    </row>
    <row r="861" spans="1:8" x14ac:dyDescent="0.2">
      <c r="A861" s="6">
        <v>860</v>
      </c>
      <c r="B861" s="1" t="s">
        <v>12</v>
      </c>
      <c r="C861" s="1" t="s">
        <v>77</v>
      </c>
      <c r="D861" s="4">
        <v>1317.2</v>
      </c>
      <c r="E861" s="4">
        <v>14928</v>
      </c>
      <c r="F861" s="4">
        <v>16245.2</v>
      </c>
      <c r="H861" s="68">
        <f t="shared" si="13"/>
        <v>0.91891758796444489</v>
      </c>
    </row>
    <row r="862" spans="1:8" x14ac:dyDescent="0.2">
      <c r="A862" s="6">
        <v>861</v>
      </c>
      <c r="B862" s="1" t="s">
        <v>12</v>
      </c>
      <c r="C862" s="1" t="s">
        <v>78</v>
      </c>
      <c r="D862" s="4">
        <v>0</v>
      </c>
      <c r="E862" s="4">
        <v>27.4</v>
      </c>
      <c r="F862" s="4">
        <v>27.4</v>
      </c>
      <c r="H862" s="68">
        <f t="shared" si="13"/>
        <v>1</v>
      </c>
    </row>
    <row r="863" spans="1:8" x14ac:dyDescent="0.2">
      <c r="A863" s="7">
        <v>862</v>
      </c>
      <c r="B863" s="8" t="s">
        <v>12</v>
      </c>
      <c r="C863" s="8" t="s">
        <v>79</v>
      </c>
      <c r="D863" s="9">
        <v>55884.799999999996</v>
      </c>
      <c r="E863" s="9">
        <v>156202.09999999998</v>
      </c>
      <c r="F863" s="9">
        <v>212086.89999999997</v>
      </c>
      <c r="H863" s="68">
        <f t="shared" si="13"/>
        <v>0.73650046278200121</v>
      </c>
    </row>
    <row r="864" spans="1:8" x14ac:dyDescent="0.2">
      <c r="A864" s="6">
        <v>863</v>
      </c>
      <c r="B864" s="1" t="s">
        <v>12</v>
      </c>
      <c r="C864" s="1" t="s">
        <v>33</v>
      </c>
      <c r="D864" s="4">
        <v>8.063151736491822E-2</v>
      </c>
      <c r="E864" s="4">
        <v>7.1122004196597144E-2</v>
      </c>
      <c r="F864" s="4">
        <v>7.3403122683492625E-2</v>
      </c>
      <c r="H864" s="68">
        <f t="shared" si="13"/>
        <v>0.96892341356196177</v>
      </c>
    </row>
    <row r="865" spans="1:8" x14ac:dyDescent="0.2">
      <c r="A865" s="6">
        <v>864</v>
      </c>
      <c r="B865" s="1" t="s">
        <v>12</v>
      </c>
      <c r="C865" s="1" t="s">
        <v>80</v>
      </c>
      <c r="D865" s="4">
        <v>0</v>
      </c>
      <c r="E865" s="4">
        <v>15997.9</v>
      </c>
      <c r="F865" s="4">
        <v>15997.9</v>
      </c>
      <c r="H865" s="68">
        <f t="shared" si="13"/>
        <v>1</v>
      </c>
    </row>
    <row r="866" spans="1:8" x14ac:dyDescent="0.2">
      <c r="A866" s="6">
        <v>865</v>
      </c>
      <c r="B866" s="1" t="s">
        <v>12</v>
      </c>
      <c r="C866" s="1" t="s">
        <v>81</v>
      </c>
      <c r="D866" s="4">
        <v>0</v>
      </c>
      <c r="E866" s="4">
        <v>4411.7</v>
      </c>
      <c r="F866" s="4">
        <v>4411.7</v>
      </c>
      <c r="H866" s="68">
        <f t="shared" si="13"/>
        <v>1</v>
      </c>
    </row>
    <row r="867" spans="1:8" x14ac:dyDescent="0.2">
      <c r="A867" s="6">
        <v>866</v>
      </c>
      <c r="B867" s="1" t="s">
        <v>12</v>
      </c>
      <c r="C867" s="1" t="s">
        <v>82</v>
      </c>
      <c r="D867" s="4">
        <v>0</v>
      </c>
      <c r="E867" s="4">
        <v>9757</v>
      </c>
      <c r="F867" s="4">
        <v>9757</v>
      </c>
      <c r="H867" s="68">
        <f t="shared" si="13"/>
        <v>1</v>
      </c>
    </row>
    <row r="868" spans="1:8" x14ac:dyDescent="0.2">
      <c r="A868" s="6">
        <v>867</v>
      </c>
      <c r="B868" s="1" t="s">
        <v>12</v>
      </c>
      <c r="C868" s="1" t="s">
        <v>83</v>
      </c>
      <c r="D868" s="4">
        <v>0</v>
      </c>
      <c r="E868" s="4">
        <v>4078.7</v>
      </c>
      <c r="F868" s="4">
        <v>4078.7</v>
      </c>
      <c r="H868" s="68">
        <f t="shared" si="13"/>
        <v>1</v>
      </c>
    </row>
    <row r="869" spans="1:8" x14ac:dyDescent="0.2">
      <c r="A869" s="6">
        <v>868</v>
      </c>
      <c r="B869" s="1" t="s">
        <v>12</v>
      </c>
      <c r="C869" s="1" t="s">
        <v>84</v>
      </c>
      <c r="D869" s="4">
        <v>0</v>
      </c>
      <c r="E869" s="4">
        <v>44320.7</v>
      </c>
      <c r="F869" s="4">
        <v>44320.7</v>
      </c>
      <c r="H869" s="68">
        <f t="shared" si="13"/>
        <v>1</v>
      </c>
    </row>
    <row r="870" spans="1:8" x14ac:dyDescent="0.2">
      <c r="A870" s="6">
        <v>869</v>
      </c>
      <c r="B870" s="1" t="s">
        <v>12</v>
      </c>
      <c r="C870" s="1" t="s">
        <v>85</v>
      </c>
      <c r="D870" s="4">
        <v>0</v>
      </c>
      <c r="E870" s="4">
        <v>22.1</v>
      </c>
      <c r="F870" s="4">
        <v>22.1</v>
      </c>
      <c r="H870" s="68">
        <f t="shared" si="13"/>
        <v>1</v>
      </c>
    </row>
    <row r="871" spans="1:8" x14ac:dyDescent="0.2">
      <c r="A871" s="7">
        <v>870</v>
      </c>
      <c r="B871" s="8" t="s">
        <v>12</v>
      </c>
      <c r="C871" s="8" t="s">
        <v>86</v>
      </c>
      <c r="D871" s="9">
        <v>0</v>
      </c>
      <c r="E871" s="9">
        <v>78588.100000000006</v>
      </c>
      <c r="F871" s="9">
        <v>78588.100000000006</v>
      </c>
      <c r="H871" s="68">
        <f t="shared" si="13"/>
        <v>1</v>
      </c>
    </row>
    <row r="872" spans="1:8" x14ac:dyDescent="0.2">
      <c r="A872" s="6">
        <v>871</v>
      </c>
      <c r="B872" s="1" t="s">
        <v>12</v>
      </c>
      <c r="C872" s="1" t="s">
        <v>33</v>
      </c>
      <c r="D872" s="4">
        <v>0</v>
      </c>
      <c r="E872" s="4">
        <v>3.5782765903932132E-2</v>
      </c>
      <c r="F872" s="4">
        <v>2.7199284565725599E-2</v>
      </c>
      <c r="H872" s="68">
        <f t="shared" si="13"/>
        <v>1.315577467394961</v>
      </c>
    </row>
    <row r="873" spans="1:8" x14ac:dyDescent="0.2">
      <c r="A873" s="6">
        <v>872</v>
      </c>
      <c r="B873" s="1" t="s">
        <v>12</v>
      </c>
      <c r="C873" s="1" t="s">
        <v>87</v>
      </c>
      <c r="D873" s="4">
        <v>0</v>
      </c>
      <c r="E873" s="4">
        <v>0</v>
      </c>
      <c r="F873" s="4">
        <v>0</v>
      </c>
      <c r="H873" s="68">
        <f t="shared" si="13"/>
        <v>0</v>
      </c>
    </row>
    <row r="874" spans="1:8" x14ac:dyDescent="0.2">
      <c r="A874" s="6">
        <v>873</v>
      </c>
      <c r="B874" s="1" t="s">
        <v>12</v>
      </c>
      <c r="C874" s="1" t="s">
        <v>88</v>
      </c>
      <c r="D874" s="4">
        <v>711.3</v>
      </c>
      <c r="E874" s="4">
        <v>0</v>
      </c>
      <c r="F874" s="4">
        <v>711.3</v>
      </c>
      <c r="H874" s="68">
        <f t="shared" si="13"/>
        <v>0</v>
      </c>
    </row>
    <row r="875" spans="1:8" x14ac:dyDescent="0.2">
      <c r="A875" s="7">
        <v>874</v>
      </c>
      <c r="B875" s="8" t="s">
        <v>12</v>
      </c>
      <c r="C875" s="8" t="s">
        <v>89</v>
      </c>
      <c r="D875" s="9">
        <v>711.3</v>
      </c>
      <c r="E875" s="9">
        <v>0</v>
      </c>
      <c r="F875" s="9">
        <v>711.3</v>
      </c>
      <c r="H875" s="68">
        <f t="shared" si="13"/>
        <v>0</v>
      </c>
    </row>
    <row r="876" spans="1:8" x14ac:dyDescent="0.2">
      <c r="A876" s="6">
        <v>875</v>
      </c>
      <c r="B876" s="1" t="s">
        <v>12</v>
      </c>
      <c r="C876" s="1" t="s">
        <v>33</v>
      </c>
      <c r="D876" s="4">
        <v>1.0262754505995608E-3</v>
      </c>
      <c r="E876" s="4">
        <v>0</v>
      </c>
      <c r="F876" s="4">
        <v>2.4618041550311833E-4</v>
      </c>
      <c r="H876" s="68">
        <f t="shared" si="13"/>
        <v>0</v>
      </c>
    </row>
    <row r="877" spans="1:8" x14ac:dyDescent="0.2">
      <c r="A877" s="6">
        <v>876</v>
      </c>
      <c r="B877" s="1" t="s">
        <v>12</v>
      </c>
      <c r="C877" s="1" t="s">
        <v>90</v>
      </c>
      <c r="D877" s="4">
        <v>0</v>
      </c>
      <c r="E877" s="4">
        <v>0</v>
      </c>
      <c r="F877" s="4">
        <v>0</v>
      </c>
      <c r="H877" s="68">
        <f t="shared" si="13"/>
        <v>0</v>
      </c>
    </row>
    <row r="878" spans="1:8" x14ac:dyDescent="0.2">
      <c r="A878" s="6">
        <v>877</v>
      </c>
      <c r="B878" s="1" t="s">
        <v>12</v>
      </c>
      <c r="C878" s="1" t="s">
        <v>33</v>
      </c>
      <c r="D878" s="4">
        <v>0</v>
      </c>
      <c r="E878" s="4">
        <v>0</v>
      </c>
      <c r="F878" s="4">
        <v>0</v>
      </c>
      <c r="H878" s="68">
        <f t="shared" si="13"/>
        <v>0</v>
      </c>
    </row>
    <row r="879" spans="1:8" x14ac:dyDescent="0.2">
      <c r="A879" s="6">
        <v>878</v>
      </c>
      <c r="B879" s="1" t="s">
        <v>12</v>
      </c>
      <c r="C879" s="1" t="s">
        <v>91</v>
      </c>
      <c r="D879" s="4">
        <v>9172.9</v>
      </c>
      <c r="E879" s="4">
        <v>13481.2</v>
      </c>
      <c r="F879" s="4">
        <v>22654.1</v>
      </c>
      <c r="H879" s="68">
        <f t="shared" si="13"/>
        <v>0.59508874773219866</v>
      </c>
    </row>
    <row r="880" spans="1:8" x14ac:dyDescent="0.2">
      <c r="A880" s="6">
        <v>879</v>
      </c>
      <c r="B880" s="1" t="s">
        <v>12</v>
      </c>
      <c r="C880" s="1" t="s">
        <v>33</v>
      </c>
      <c r="D880" s="4">
        <v>1.323481242908015E-2</v>
      </c>
      <c r="E880" s="4">
        <v>6.1382655097157179E-3</v>
      </c>
      <c r="F880" s="4">
        <v>7.8405676238565911E-3</v>
      </c>
      <c r="H880" s="68">
        <f t="shared" si="13"/>
        <v>0.78288534761676465</v>
      </c>
    </row>
    <row r="881" spans="1:8" x14ac:dyDescent="0.2">
      <c r="A881" s="10">
        <v>880</v>
      </c>
      <c r="B881" s="11" t="s">
        <v>12</v>
      </c>
      <c r="C881" s="11" t="s">
        <v>2</v>
      </c>
      <c r="D881" s="12">
        <v>693088.78000000014</v>
      </c>
      <c r="E881" s="12">
        <v>2196255.6</v>
      </c>
      <c r="F881" s="12">
        <v>2889344.3800000004</v>
      </c>
      <c r="H881" s="68">
        <f t="shared" si="13"/>
        <v>0.76012247456635817</v>
      </c>
    </row>
    <row r="882" spans="1:8" x14ac:dyDescent="0.2">
      <c r="A882" s="6">
        <v>881</v>
      </c>
      <c r="B882" s="1" t="s">
        <v>13</v>
      </c>
      <c r="C882" s="1" t="s">
        <v>23</v>
      </c>
      <c r="D882" s="4">
        <v>15930.8</v>
      </c>
      <c r="E882" s="4">
        <v>719.9</v>
      </c>
      <c r="F882" s="4">
        <v>16650.7</v>
      </c>
      <c r="H882" s="68">
        <f t="shared" si="13"/>
        <v>4.3235419531911568E-2</v>
      </c>
    </row>
    <row r="883" spans="1:8" x14ac:dyDescent="0.2">
      <c r="A883" s="6">
        <v>882</v>
      </c>
      <c r="B883" s="1" t="s">
        <v>13</v>
      </c>
      <c r="C883" s="1" t="s">
        <v>24</v>
      </c>
      <c r="D883" s="4">
        <v>0</v>
      </c>
      <c r="E883" s="4">
        <v>0</v>
      </c>
      <c r="F883" s="4">
        <v>0</v>
      </c>
      <c r="H883" s="68">
        <f t="shared" si="13"/>
        <v>0</v>
      </c>
    </row>
    <row r="884" spans="1:8" x14ac:dyDescent="0.2">
      <c r="A884" s="6">
        <v>883</v>
      </c>
      <c r="B884" s="1" t="s">
        <v>13</v>
      </c>
      <c r="C884" s="1" t="s">
        <v>25</v>
      </c>
      <c r="D884" s="4">
        <v>0</v>
      </c>
      <c r="E884" s="4">
        <v>0</v>
      </c>
      <c r="F884" s="4">
        <v>0</v>
      </c>
      <c r="H884" s="68">
        <f t="shared" si="13"/>
        <v>0</v>
      </c>
    </row>
    <row r="885" spans="1:8" x14ac:dyDescent="0.2">
      <c r="A885" s="6">
        <v>884</v>
      </c>
      <c r="B885" s="1" t="s">
        <v>13</v>
      </c>
      <c r="C885" s="1" t="s">
        <v>26</v>
      </c>
      <c r="D885" s="4">
        <v>2187.1999999999998</v>
      </c>
      <c r="E885" s="4">
        <v>0</v>
      </c>
      <c r="F885" s="4">
        <v>2187.1999999999998</v>
      </c>
      <c r="H885" s="68">
        <f t="shared" si="13"/>
        <v>0</v>
      </c>
    </row>
    <row r="886" spans="1:8" x14ac:dyDescent="0.2">
      <c r="A886" s="6">
        <v>885</v>
      </c>
      <c r="B886" s="1" t="s">
        <v>13</v>
      </c>
      <c r="C886" s="1" t="s">
        <v>27</v>
      </c>
      <c r="D886" s="4">
        <v>2840.8</v>
      </c>
      <c r="E886" s="4">
        <v>0</v>
      </c>
      <c r="F886" s="4">
        <v>2840.8</v>
      </c>
      <c r="H886" s="68">
        <f t="shared" si="13"/>
        <v>0</v>
      </c>
    </row>
    <row r="887" spans="1:8" x14ac:dyDescent="0.2">
      <c r="A887" s="6">
        <v>886</v>
      </c>
      <c r="B887" s="1" t="s">
        <v>13</v>
      </c>
      <c r="C887" s="1" t="s">
        <v>28</v>
      </c>
      <c r="D887" s="4">
        <v>0</v>
      </c>
      <c r="E887" s="4">
        <v>0</v>
      </c>
      <c r="F887" s="4">
        <v>0</v>
      </c>
      <c r="H887" s="68">
        <f t="shared" si="13"/>
        <v>0</v>
      </c>
    </row>
    <row r="888" spans="1:8" x14ac:dyDescent="0.2">
      <c r="A888" s="6">
        <v>887</v>
      </c>
      <c r="B888" s="1" t="s">
        <v>13</v>
      </c>
      <c r="C888" s="1" t="s">
        <v>29</v>
      </c>
      <c r="D888" s="4">
        <v>3.7</v>
      </c>
      <c r="E888" s="4">
        <v>121.6</v>
      </c>
      <c r="F888" s="4">
        <v>125.3</v>
      </c>
      <c r="H888" s="68">
        <f t="shared" si="13"/>
        <v>0.97047086991221065</v>
      </c>
    </row>
    <row r="889" spans="1:8" x14ac:dyDescent="0.2">
      <c r="A889" s="6">
        <v>888</v>
      </c>
      <c r="B889" s="1" t="s">
        <v>13</v>
      </c>
      <c r="C889" s="1" t="s">
        <v>30</v>
      </c>
      <c r="D889" s="4">
        <v>2758</v>
      </c>
      <c r="E889" s="4">
        <v>203</v>
      </c>
      <c r="F889" s="4">
        <v>2961</v>
      </c>
      <c r="H889" s="68">
        <f t="shared" si="13"/>
        <v>6.8557919621749411E-2</v>
      </c>
    </row>
    <row r="890" spans="1:8" x14ac:dyDescent="0.2">
      <c r="A890" s="6">
        <v>889</v>
      </c>
      <c r="B890" s="1" t="s">
        <v>13</v>
      </c>
      <c r="C890" s="1" t="s">
        <v>31</v>
      </c>
      <c r="D890" s="4">
        <v>85.2</v>
      </c>
      <c r="E890" s="4">
        <v>251.3</v>
      </c>
      <c r="F890" s="4">
        <v>336.5</v>
      </c>
      <c r="H890" s="68">
        <f t="shared" si="13"/>
        <v>0.74680534918276376</v>
      </c>
    </row>
    <row r="891" spans="1:8" x14ac:dyDescent="0.2">
      <c r="A891" s="7">
        <v>890</v>
      </c>
      <c r="B891" s="8" t="s">
        <v>13</v>
      </c>
      <c r="C891" s="8" t="s">
        <v>32</v>
      </c>
      <c r="D891" s="9">
        <v>23805.7</v>
      </c>
      <c r="E891" s="9">
        <v>1295.8</v>
      </c>
      <c r="F891" s="9">
        <v>25101.5</v>
      </c>
      <c r="H891" s="68">
        <f t="shared" si="13"/>
        <v>5.1622413003206975E-2</v>
      </c>
    </row>
    <row r="892" spans="1:8" x14ac:dyDescent="0.2">
      <c r="A892" s="6">
        <v>891</v>
      </c>
      <c r="B892" s="1" t="s">
        <v>13</v>
      </c>
      <c r="C892" s="1" t="s">
        <v>33</v>
      </c>
      <c r="D892" s="4">
        <v>0.41112003384883727</v>
      </c>
      <c r="E892" s="4">
        <v>3.1337591324725453E-2</v>
      </c>
      <c r="F892" s="4">
        <v>0.25290113667733954</v>
      </c>
      <c r="H892" s="68">
        <f t="shared" si="13"/>
        <v>0.12391241785799915</v>
      </c>
    </row>
    <row r="893" spans="1:8" x14ac:dyDescent="0.2">
      <c r="A893" s="6">
        <v>892</v>
      </c>
      <c r="B893" s="1" t="s">
        <v>13</v>
      </c>
      <c r="C893" s="1" t="s">
        <v>34</v>
      </c>
      <c r="D893" s="4">
        <v>161.5</v>
      </c>
      <c r="E893" s="4">
        <v>2410</v>
      </c>
      <c r="F893" s="4">
        <v>2571.5</v>
      </c>
      <c r="H893" s="68">
        <f t="shared" si="13"/>
        <v>0.9371961889947501</v>
      </c>
    </row>
    <row r="894" spans="1:8" x14ac:dyDescent="0.2">
      <c r="A894" s="6">
        <v>893</v>
      </c>
      <c r="B894" s="1" t="s">
        <v>13</v>
      </c>
      <c r="C894" s="1" t="s">
        <v>35</v>
      </c>
      <c r="D894" s="4">
        <v>85.6</v>
      </c>
      <c r="E894" s="4">
        <v>293.10000000000002</v>
      </c>
      <c r="F894" s="4">
        <v>378.70000000000005</v>
      </c>
      <c r="H894" s="68">
        <f t="shared" si="13"/>
        <v>0.77396355954581464</v>
      </c>
    </row>
    <row r="895" spans="1:8" x14ac:dyDescent="0.2">
      <c r="A895" s="6">
        <v>894</v>
      </c>
      <c r="B895" s="1" t="s">
        <v>13</v>
      </c>
      <c r="C895" s="1" t="s">
        <v>36</v>
      </c>
      <c r="D895" s="4">
        <v>0</v>
      </c>
      <c r="E895" s="4">
        <v>0</v>
      </c>
      <c r="F895" s="4">
        <v>0</v>
      </c>
      <c r="H895" s="68">
        <f t="shared" si="13"/>
        <v>0</v>
      </c>
    </row>
    <row r="896" spans="1:8" x14ac:dyDescent="0.2">
      <c r="A896" s="6">
        <v>895</v>
      </c>
      <c r="B896" s="1" t="s">
        <v>13</v>
      </c>
      <c r="C896" s="1" t="s">
        <v>37</v>
      </c>
      <c r="D896" s="4">
        <v>139.6</v>
      </c>
      <c r="E896" s="4">
        <v>166</v>
      </c>
      <c r="F896" s="4">
        <v>305.60000000000002</v>
      </c>
      <c r="H896" s="68">
        <f t="shared" si="13"/>
        <v>0.54319371727748689</v>
      </c>
    </row>
    <row r="897" spans="1:8" x14ac:dyDescent="0.2">
      <c r="A897" s="7">
        <v>896</v>
      </c>
      <c r="B897" s="8" t="s">
        <v>13</v>
      </c>
      <c r="C897" s="8" t="s">
        <v>38</v>
      </c>
      <c r="D897" s="9">
        <v>386.7</v>
      </c>
      <c r="E897" s="9">
        <v>2869.1</v>
      </c>
      <c r="F897" s="9">
        <v>3255.7999999999997</v>
      </c>
      <c r="H897" s="68">
        <f t="shared" si="13"/>
        <v>0.88122734811720627</v>
      </c>
    </row>
    <row r="898" spans="1:8" x14ac:dyDescent="0.2">
      <c r="A898" s="6">
        <v>897</v>
      </c>
      <c r="B898" s="1" t="s">
        <v>13</v>
      </c>
      <c r="C898" s="1" t="s">
        <v>33</v>
      </c>
      <c r="D898" s="4">
        <v>6.6782374426858004E-3</v>
      </c>
      <c r="E898" s="4">
        <v>6.9386234966638219E-2</v>
      </c>
      <c r="F898" s="4">
        <v>3.2802642104817724E-2</v>
      </c>
      <c r="H898" s="68">
        <f t="shared" si="13"/>
        <v>2.1152636042219131</v>
      </c>
    </row>
    <row r="899" spans="1:8" x14ac:dyDescent="0.2">
      <c r="A899" s="6">
        <v>898</v>
      </c>
      <c r="B899" s="1" t="s">
        <v>13</v>
      </c>
      <c r="C899" s="1" t="s">
        <v>39</v>
      </c>
      <c r="D899" s="4">
        <v>0</v>
      </c>
      <c r="E899" s="4">
        <v>0</v>
      </c>
      <c r="F899" s="4">
        <v>0</v>
      </c>
      <c r="H899" s="68">
        <f t="shared" ref="H899:H962" si="14">IFERROR(E899/F899,0)</f>
        <v>0</v>
      </c>
    </row>
    <row r="900" spans="1:8" x14ac:dyDescent="0.2">
      <c r="A900" s="6">
        <v>899</v>
      </c>
      <c r="B900" s="1" t="s">
        <v>13</v>
      </c>
      <c r="C900" s="1" t="s">
        <v>40</v>
      </c>
      <c r="D900" s="4">
        <v>0</v>
      </c>
      <c r="E900" s="4">
        <v>0</v>
      </c>
      <c r="F900" s="4">
        <v>0</v>
      </c>
      <c r="H900" s="68">
        <f t="shared" si="14"/>
        <v>0</v>
      </c>
    </row>
    <row r="901" spans="1:8" x14ac:dyDescent="0.2">
      <c r="A901" s="6">
        <v>900</v>
      </c>
      <c r="B901" s="1" t="s">
        <v>13</v>
      </c>
      <c r="C901" s="1" t="s">
        <v>41</v>
      </c>
      <c r="D901" s="4">
        <v>529.9</v>
      </c>
      <c r="E901" s="4">
        <v>654.1</v>
      </c>
      <c r="F901" s="4">
        <v>1184</v>
      </c>
      <c r="H901" s="68">
        <f t="shared" si="14"/>
        <v>0.55244932432432436</v>
      </c>
    </row>
    <row r="902" spans="1:8" x14ac:dyDescent="0.2">
      <c r="A902" s="6">
        <v>901</v>
      </c>
      <c r="B902" s="1" t="s">
        <v>13</v>
      </c>
      <c r="C902" s="1" t="s">
        <v>42</v>
      </c>
      <c r="D902" s="4">
        <v>956.2</v>
      </c>
      <c r="E902" s="4">
        <v>7179</v>
      </c>
      <c r="F902" s="4">
        <v>8135.2</v>
      </c>
      <c r="H902" s="68">
        <f t="shared" si="14"/>
        <v>0.88246140230111125</v>
      </c>
    </row>
    <row r="903" spans="1:8" x14ac:dyDescent="0.2">
      <c r="A903" s="6">
        <v>902</v>
      </c>
      <c r="B903" s="1" t="s">
        <v>13</v>
      </c>
      <c r="C903" s="1" t="s">
        <v>43</v>
      </c>
      <c r="D903" s="4">
        <v>0</v>
      </c>
      <c r="E903" s="4">
        <v>0</v>
      </c>
      <c r="F903" s="4">
        <v>0</v>
      </c>
      <c r="H903" s="68">
        <f t="shared" si="14"/>
        <v>0</v>
      </c>
    </row>
    <row r="904" spans="1:8" x14ac:dyDescent="0.2">
      <c r="A904" s="6">
        <v>903</v>
      </c>
      <c r="B904" s="1" t="s">
        <v>13</v>
      </c>
      <c r="C904" s="1" t="s">
        <v>44</v>
      </c>
      <c r="D904" s="4">
        <v>0</v>
      </c>
      <c r="E904" s="4">
        <v>110.1</v>
      </c>
      <c r="F904" s="4">
        <v>110.1</v>
      </c>
      <c r="H904" s="68">
        <f t="shared" si="14"/>
        <v>1</v>
      </c>
    </row>
    <row r="905" spans="1:8" x14ac:dyDescent="0.2">
      <c r="A905" s="7">
        <v>904</v>
      </c>
      <c r="B905" s="8" t="s">
        <v>13</v>
      </c>
      <c r="C905" s="8" t="s">
        <v>45</v>
      </c>
      <c r="D905" s="9">
        <v>1486.1</v>
      </c>
      <c r="E905" s="9">
        <v>7943.2000000000007</v>
      </c>
      <c r="F905" s="9">
        <v>9429.3000000000011</v>
      </c>
      <c r="H905" s="68">
        <f t="shared" si="14"/>
        <v>0.84239551186196215</v>
      </c>
    </row>
    <row r="906" spans="1:8" x14ac:dyDescent="0.2">
      <c r="A906" s="6">
        <v>905</v>
      </c>
      <c r="B906" s="1" t="s">
        <v>13</v>
      </c>
      <c r="C906" s="1" t="s">
        <v>33</v>
      </c>
      <c r="D906" s="4">
        <v>2.5664672003039481E-2</v>
      </c>
      <c r="E906" s="4">
        <v>0.19209812888606209</v>
      </c>
      <c r="F906" s="4">
        <v>9.5001521346199963E-2</v>
      </c>
      <c r="H906" s="68">
        <f t="shared" si="14"/>
        <v>2.0220531857171777</v>
      </c>
    </row>
    <row r="907" spans="1:8" x14ac:dyDescent="0.2">
      <c r="A907" s="6">
        <v>906</v>
      </c>
      <c r="B907" s="1" t="s">
        <v>13</v>
      </c>
      <c r="C907" s="1" t="s">
        <v>46</v>
      </c>
      <c r="D907" s="4">
        <v>5122.7</v>
      </c>
      <c r="E907" s="4">
        <v>238</v>
      </c>
      <c r="F907" s="4">
        <v>5360.7</v>
      </c>
      <c r="H907" s="68">
        <f t="shared" si="14"/>
        <v>4.4397186934542129E-2</v>
      </c>
    </row>
    <row r="908" spans="1:8" x14ac:dyDescent="0.2">
      <c r="A908" s="6">
        <v>907</v>
      </c>
      <c r="B908" s="1" t="s">
        <v>13</v>
      </c>
      <c r="C908" s="1" t="s">
        <v>47</v>
      </c>
      <c r="D908" s="4">
        <v>2082.9</v>
      </c>
      <c r="E908" s="4">
        <v>34.200000000000003</v>
      </c>
      <c r="F908" s="4">
        <v>2117.1</v>
      </c>
      <c r="H908" s="68">
        <f t="shared" si="14"/>
        <v>1.615417316140003E-2</v>
      </c>
    </row>
    <row r="909" spans="1:8" x14ac:dyDescent="0.2">
      <c r="A909" s="6">
        <v>908</v>
      </c>
      <c r="B909" s="1" t="s">
        <v>13</v>
      </c>
      <c r="C909" s="1" t="s">
        <v>48</v>
      </c>
      <c r="D909" s="4">
        <v>0</v>
      </c>
      <c r="E909" s="4">
        <v>0</v>
      </c>
      <c r="F909" s="4">
        <v>0</v>
      </c>
      <c r="H909" s="68">
        <f t="shared" si="14"/>
        <v>0</v>
      </c>
    </row>
    <row r="910" spans="1:8" x14ac:dyDescent="0.2">
      <c r="A910" s="6">
        <v>909</v>
      </c>
      <c r="B910" s="1" t="s">
        <v>13</v>
      </c>
      <c r="C910" s="1" t="s">
        <v>49</v>
      </c>
      <c r="D910" s="4">
        <v>0</v>
      </c>
      <c r="E910" s="4">
        <v>0</v>
      </c>
      <c r="F910" s="4">
        <v>0</v>
      </c>
      <c r="H910" s="68">
        <f t="shared" si="14"/>
        <v>0</v>
      </c>
    </row>
    <row r="911" spans="1:8" x14ac:dyDescent="0.2">
      <c r="A911" s="6">
        <v>910</v>
      </c>
      <c r="B911" s="1" t="s">
        <v>13</v>
      </c>
      <c r="C911" s="1" t="s">
        <v>50</v>
      </c>
      <c r="D911" s="4">
        <v>1020</v>
      </c>
      <c r="E911" s="4">
        <v>77.8</v>
      </c>
      <c r="F911" s="4">
        <v>1097.8</v>
      </c>
      <c r="H911" s="68">
        <f t="shared" si="14"/>
        <v>7.0869010748770264E-2</v>
      </c>
    </row>
    <row r="912" spans="1:8" x14ac:dyDescent="0.2">
      <c r="A912" s="7">
        <v>911</v>
      </c>
      <c r="B912" s="8" t="s">
        <v>13</v>
      </c>
      <c r="C912" s="8" t="s">
        <v>51</v>
      </c>
      <c r="D912" s="9">
        <v>8225.6</v>
      </c>
      <c r="E912" s="9">
        <v>350</v>
      </c>
      <c r="F912" s="9">
        <v>8575.6</v>
      </c>
      <c r="H912" s="68">
        <f t="shared" si="14"/>
        <v>4.0813470777554921E-2</v>
      </c>
    </row>
    <row r="913" spans="1:8" x14ac:dyDescent="0.2">
      <c r="A913" s="6">
        <v>912</v>
      </c>
      <c r="B913" s="1" t="s">
        <v>13</v>
      </c>
      <c r="C913" s="1" t="s">
        <v>33</v>
      </c>
      <c r="D913" s="4">
        <v>0.14205458988506936</v>
      </c>
      <c r="E913" s="4">
        <v>8.4643903099659735E-3</v>
      </c>
      <c r="F913" s="4">
        <v>8.6400373989211535E-2</v>
      </c>
      <c r="H913" s="68">
        <f t="shared" si="14"/>
        <v>9.7967056381293993E-2</v>
      </c>
    </row>
    <row r="914" spans="1:8" x14ac:dyDescent="0.2">
      <c r="A914" s="6">
        <v>913</v>
      </c>
      <c r="B914" s="1" t="s">
        <v>13</v>
      </c>
      <c r="C914" s="1" t="s">
        <v>52</v>
      </c>
      <c r="D914" s="4">
        <v>1177.9000000000001</v>
      </c>
      <c r="E914" s="4">
        <v>926.2</v>
      </c>
      <c r="F914" s="4">
        <v>2104.1000000000004</v>
      </c>
      <c r="H914" s="68">
        <f t="shared" si="14"/>
        <v>0.44018820398270037</v>
      </c>
    </row>
    <row r="915" spans="1:8" x14ac:dyDescent="0.2">
      <c r="A915" s="6">
        <v>914</v>
      </c>
      <c r="B915" s="1" t="s">
        <v>13</v>
      </c>
      <c r="C915" s="1" t="s">
        <v>53</v>
      </c>
      <c r="D915" s="4">
        <v>30.4</v>
      </c>
      <c r="E915" s="4">
        <v>333.6</v>
      </c>
      <c r="F915" s="4">
        <v>364</v>
      </c>
      <c r="H915" s="68">
        <f t="shared" si="14"/>
        <v>0.91648351648351656</v>
      </c>
    </row>
    <row r="916" spans="1:8" x14ac:dyDescent="0.2">
      <c r="A916" s="6">
        <v>915</v>
      </c>
      <c r="B916" s="1" t="s">
        <v>13</v>
      </c>
      <c r="C916" s="1" t="s">
        <v>54</v>
      </c>
      <c r="D916" s="4">
        <v>431.6</v>
      </c>
      <c r="E916" s="4">
        <v>190.3</v>
      </c>
      <c r="F916" s="4">
        <v>621.90000000000009</v>
      </c>
      <c r="H916" s="68">
        <f t="shared" si="14"/>
        <v>0.30599774883421771</v>
      </c>
    </row>
    <row r="917" spans="1:8" x14ac:dyDescent="0.2">
      <c r="A917" s="6">
        <v>916</v>
      </c>
      <c r="B917" s="1" t="s">
        <v>13</v>
      </c>
      <c r="C917" s="1" t="s">
        <v>55</v>
      </c>
      <c r="D917" s="4">
        <v>677.9</v>
      </c>
      <c r="E917" s="4">
        <v>0</v>
      </c>
      <c r="F917" s="4">
        <v>677.9</v>
      </c>
      <c r="H917" s="68">
        <f t="shared" si="14"/>
        <v>0</v>
      </c>
    </row>
    <row r="918" spans="1:8" x14ac:dyDescent="0.2">
      <c r="A918" s="6">
        <v>917</v>
      </c>
      <c r="B918" s="1" t="s">
        <v>13</v>
      </c>
      <c r="C918" s="1" t="s">
        <v>56</v>
      </c>
      <c r="D918" s="4">
        <v>5637.4</v>
      </c>
      <c r="E918" s="4">
        <v>8480.7000000000007</v>
      </c>
      <c r="F918" s="4">
        <v>14118.1</v>
      </c>
      <c r="H918" s="68">
        <f t="shared" si="14"/>
        <v>0.60069697763863417</v>
      </c>
    </row>
    <row r="919" spans="1:8" x14ac:dyDescent="0.2">
      <c r="A919" s="6">
        <v>918</v>
      </c>
      <c r="B919" s="1" t="s">
        <v>13</v>
      </c>
      <c r="C919" s="1" t="s">
        <v>57</v>
      </c>
      <c r="D919" s="4">
        <v>2109.5</v>
      </c>
      <c r="E919" s="4">
        <v>1536.8</v>
      </c>
      <c r="F919" s="4">
        <v>3646.3</v>
      </c>
      <c r="H919" s="68">
        <f t="shared" si="14"/>
        <v>0.4214683377670515</v>
      </c>
    </row>
    <row r="920" spans="1:8" x14ac:dyDescent="0.2">
      <c r="A920" s="6">
        <v>919</v>
      </c>
      <c r="B920" s="1" t="s">
        <v>13</v>
      </c>
      <c r="C920" s="1" t="s">
        <v>58</v>
      </c>
      <c r="D920" s="4">
        <v>0</v>
      </c>
      <c r="E920" s="4">
        <v>6.5</v>
      </c>
      <c r="F920" s="4">
        <v>6.5</v>
      </c>
      <c r="H920" s="68">
        <f t="shared" si="14"/>
        <v>1</v>
      </c>
    </row>
    <row r="921" spans="1:8" x14ac:dyDescent="0.2">
      <c r="A921" s="7">
        <v>920</v>
      </c>
      <c r="B921" s="8" t="s">
        <v>13</v>
      </c>
      <c r="C921" s="8" t="s">
        <v>59</v>
      </c>
      <c r="D921" s="9">
        <v>10064.700000000001</v>
      </c>
      <c r="E921" s="9">
        <v>11474.1</v>
      </c>
      <c r="F921" s="9">
        <v>21538.800000000003</v>
      </c>
      <c r="H921" s="68">
        <f t="shared" si="14"/>
        <v>0.53271770015042619</v>
      </c>
    </row>
    <row r="922" spans="1:8" x14ac:dyDescent="0.2">
      <c r="A922" s="6">
        <v>921</v>
      </c>
      <c r="B922" s="1" t="s">
        <v>13</v>
      </c>
      <c r="C922" s="1" t="s">
        <v>33</v>
      </c>
      <c r="D922" s="4">
        <v>0.17381550656684713</v>
      </c>
      <c r="E922" s="4">
        <v>0.27748931673023025</v>
      </c>
      <c r="F922" s="4">
        <v>0.21700643398465758</v>
      </c>
      <c r="H922" s="68">
        <f t="shared" si="14"/>
        <v>1.2787146981542898</v>
      </c>
    </row>
    <row r="923" spans="1:8" x14ac:dyDescent="0.2">
      <c r="A923" s="6">
        <v>922</v>
      </c>
      <c r="B923" s="1" t="s">
        <v>13</v>
      </c>
      <c r="C923" s="1" t="s">
        <v>60</v>
      </c>
      <c r="D923" s="4">
        <v>1568.7</v>
      </c>
      <c r="E923" s="4">
        <v>28</v>
      </c>
      <c r="F923" s="4">
        <v>1596.7</v>
      </c>
      <c r="H923" s="68">
        <f t="shared" si="14"/>
        <v>1.7536168347216132E-2</v>
      </c>
    </row>
    <row r="924" spans="1:8" x14ac:dyDescent="0.2">
      <c r="A924" s="6">
        <v>923</v>
      </c>
      <c r="B924" s="1" t="s">
        <v>13</v>
      </c>
      <c r="C924" s="1" t="s">
        <v>61</v>
      </c>
      <c r="D924" s="4">
        <v>0</v>
      </c>
      <c r="E924" s="4">
        <v>0</v>
      </c>
      <c r="F924" s="4">
        <v>0</v>
      </c>
      <c r="H924" s="68">
        <f t="shared" si="14"/>
        <v>0</v>
      </c>
    </row>
    <row r="925" spans="1:8" x14ac:dyDescent="0.2">
      <c r="A925" s="6">
        <v>924</v>
      </c>
      <c r="B925" s="1" t="s">
        <v>13</v>
      </c>
      <c r="C925" s="1" t="s">
        <v>62</v>
      </c>
      <c r="D925" s="4">
        <v>2211.9</v>
      </c>
      <c r="E925" s="4">
        <v>2522.4</v>
      </c>
      <c r="F925" s="4">
        <v>4734.3</v>
      </c>
      <c r="H925" s="68">
        <f t="shared" si="14"/>
        <v>0.5327925986946328</v>
      </c>
    </row>
    <row r="926" spans="1:8" x14ac:dyDescent="0.2">
      <c r="A926" s="6">
        <v>925</v>
      </c>
      <c r="B926" s="1" t="s">
        <v>13</v>
      </c>
      <c r="C926" s="1" t="s">
        <v>63</v>
      </c>
      <c r="D926" s="4">
        <v>207</v>
      </c>
      <c r="E926" s="4">
        <v>17.399999999999999</v>
      </c>
      <c r="F926" s="4">
        <v>224.4</v>
      </c>
      <c r="H926" s="68">
        <f t="shared" si="14"/>
        <v>7.7540106951871648E-2</v>
      </c>
    </row>
    <row r="927" spans="1:8" x14ac:dyDescent="0.2">
      <c r="A927" s="6">
        <v>926</v>
      </c>
      <c r="B927" s="1" t="s">
        <v>13</v>
      </c>
      <c r="C927" s="1" t="s">
        <v>64</v>
      </c>
      <c r="D927" s="4">
        <v>1799.8</v>
      </c>
      <c r="E927" s="4">
        <v>117.7</v>
      </c>
      <c r="F927" s="4">
        <v>1917.5</v>
      </c>
      <c r="H927" s="68">
        <f t="shared" si="14"/>
        <v>6.138200782268579E-2</v>
      </c>
    </row>
    <row r="928" spans="1:8" x14ac:dyDescent="0.2">
      <c r="A928" s="7">
        <v>927</v>
      </c>
      <c r="B928" s="8" t="s">
        <v>13</v>
      </c>
      <c r="C928" s="8" t="s">
        <v>65</v>
      </c>
      <c r="D928" s="9">
        <v>5787.4000000000005</v>
      </c>
      <c r="E928" s="9">
        <v>2685.5</v>
      </c>
      <c r="F928" s="9">
        <v>8472.9000000000015</v>
      </c>
      <c r="H928" s="68">
        <f t="shared" si="14"/>
        <v>0.31695169304488424</v>
      </c>
    </row>
    <row r="929" spans="1:8" x14ac:dyDescent="0.2">
      <c r="A929" s="6">
        <v>928</v>
      </c>
      <c r="B929" s="1" t="s">
        <v>13</v>
      </c>
      <c r="C929" s="1" t="s">
        <v>33</v>
      </c>
      <c r="D929" s="4">
        <v>9.9947327064390495E-2</v>
      </c>
      <c r="E929" s="4">
        <v>6.4946057649753211E-2</v>
      </c>
      <c r="F929" s="4">
        <v>8.5365657070431283E-2</v>
      </c>
      <c r="H929" s="68">
        <f t="shared" si="14"/>
        <v>0.76079842736018777</v>
      </c>
    </row>
    <row r="930" spans="1:8" x14ac:dyDescent="0.2">
      <c r="A930" s="6">
        <v>929</v>
      </c>
      <c r="B930" s="1" t="s">
        <v>13</v>
      </c>
      <c r="C930" s="1" t="s">
        <v>66</v>
      </c>
      <c r="D930" s="4">
        <v>478.6</v>
      </c>
      <c r="E930" s="4">
        <v>56.7</v>
      </c>
      <c r="F930" s="4">
        <v>535.30000000000007</v>
      </c>
      <c r="H930" s="68">
        <f t="shared" si="14"/>
        <v>0.10592191294601157</v>
      </c>
    </row>
    <row r="931" spans="1:8" x14ac:dyDescent="0.2">
      <c r="A931" s="6">
        <v>930</v>
      </c>
      <c r="B931" s="1" t="s">
        <v>13</v>
      </c>
      <c r="C931" s="1" t="s">
        <v>67</v>
      </c>
      <c r="D931" s="4">
        <v>856.2</v>
      </c>
      <c r="E931" s="4">
        <v>0</v>
      </c>
      <c r="F931" s="4">
        <v>856.2</v>
      </c>
      <c r="H931" s="68">
        <f t="shared" si="14"/>
        <v>0</v>
      </c>
    </row>
    <row r="932" spans="1:8" x14ac:dyDescent="0.2">
      <c r="A932" s="6">
        <v>931</v>
      </c>
      <c r="B932" s="1" t="s">
        <v>13</v>
      </c>
      <c r="C932" s="1" t="s">
        <v>68</v>
      </c>
      <c r="D932" s="4">
        <v>1460.6</v>
      </c>
      <c r="E932" s="4">
        <v>5.7</v>
      </c>
      <c r="F932" s="4">
        <v>1466.3</v>
      </c>
      <c r="H932" s="68">
        <f t="shared" si="14"/>
        <v>3.8873354702311943E-3</v>
      </c>
    </row>
    <row r="933" spans="1:8" x14ac:dyDescent="0.2">
      <c r="A933" s="6">
        <v>932</v>
      </c>
      <c r="B933" s="1" t="s">
        <v>13</v>
      </c>
      <c r="C933" s="1" t="s">
        <v>69</v>
      </c>
      <c r="D933" s="4">
        <v>554.70000000000005</v>
      </c>
      <c r="E933" s="4">
        <v>49.7</v>
      </c>
      <c r="F933" s="4">
        <v>604.40000000000009</v>
      </c>
      <c r="H933" s="68">
        <f t="shared" si="14"/>
        <v>8.2230311052283248E-2</v>
      </c>
    </row>
    <row r="934" spans="1:8" x14ac:dyDescent="0.2">
      <c r="A934" s="6">
        <v>933</v>
      </c>
      <c r="B934" s="1" t="s">
        <v>13</v>
      </c>
      <c r="C934" s="1" t="s">
        <v>70</v>
      </c>
      <c r="D934" s="4">
        <v>2043.8</v>
      </c>
      <c r="E934" s="4">
        <v>824.3</v>
      </c>
      <c r="F934" s="4">
        <v>2868.1</v>
      </c>
      <c r="H934" s="68">
        <f t="shared" si="14"/>
        <v>0.28740281022279557</v>
      </c>
    </row>
    <row r="935" spans="1:8" x14ac:dyDescent="0.2">
      <c r="A935" s="6">
        <v>934</v>
      </c>
      <c r="B935" s="1" t="s">
        <v>13</v>
      </c>
      <c r="C935" s="1" t="s">
        <v>71</v>
      </c>
      <c r="D935" s="4">
        <v>0</v>
      </c>
      <c r="E935" s="4">
        <v>0</v>
      </c>
      <c r="F935" s="4">
        <v>0</v>
      </c>
      <c r="H935" s="68">
        <f t="shared" si="14"/>
        <v>0</v>
      </c>
    </row>
    <row r="936" spans="1:8" x14ac:dyDescent="0.2">
      <c r="A936" s="6">
        <v>935</v>
      </c>
      <c r="B936" s="1" t="s">
        <v>13</v>
      </c>
      <c r="C936" s="1" t="s">
        <v>72</v>
      </c>
      <c r="D936" s="4">
        <v>14.4</v>
      </c>
      <c r="E936" s="4">
        <v>0</v>
      </c>
      <c r="F936" s="4">
        <v>14.4</v>
      </c>
      <c r="H936" s="68">
        <f t="shared" si="14"/>
        <v>0</v>
      </c>
    </row>
    <row r="937" spans="1:8" x14ac:dyDescent="0.2">
      <c r="A937" s="6">
        <v>936</v>
      </c>
      <c r="B937" s="1" t="s">
        <v>13</v>
      </c>
      <c r="C937" s="1" t="s">
        <v>73</v>
      </c>
      <c r="D937" s="4">
        <v>0</v>
      </c>
      <c r="E937" s="4">
        <v>6161.5</v>
      </c>
      <c r="F937" s="4">
        <v>6161.5</v>
      </c>
      <c r="H937" s="68">
        <f t="shared" si="14"/>
        <v>1</v>
      </c>
    </row>
    <row r="938" spans="1:8" x14ac:dyDescent="0.2">
      <c r="A938" s="6">
        <v>937</v>
      </c>
      <c r="B938" s="1" t="s">
        <v>13</v>
      </c>
      <c r="C938" s="1" t="s">
        <v>74</v>
      </c>
      <c r="D938" s="4">
        <v>1711.4</v>
      </c>
      <c r="E938" s="4">
        <v>0.3</v>
      </c>
      <c r="F938" s="4">
        <v>1711.7</v>
      </c>
      <c r="H938" s="68">
        <f t="shared" si="14"/>
        <v>1.752643570719168E-4</v>
      </c>
    </row>
    <row r="939" spans="1:8" x14ac:dyDescent="0.2">
      <c r="A939" s="6">
        <v>938</v>
      </c>
      <c r="B939" s="1" t="s">
        <v>13</v>
      </c>
      <c r="C939" s="1" t="s">
        <v>75</v>
      </c>
      <c r="D939" s="4">
        <v>60.6</v>
      </c>
      <c r="E939" s="4">
        <v>0</v>
      </c>
      <c r="F939" s="4">
        <v>60.6</v>
      </c>
      <c r="H939" s="68">
        <f t="shared" si="14"/>
        <v>0</v>
      </c>
    </row>
    <row r="940" spans="1:8" x14ac:dyDescent="0.2">
      <c r="A940" s="6">
        <v>939</v>
      </c>
      <c r="B940" s="1" t="s">
        <v>13</v>
      </c>
      <c r="C940" s="1" t="s">
        <v>76</v>
      </c>
      <c r="D940" s="4">
        <v>67.099999999999994</v>
      </c>
      <c r="E940" s="4">
        <v>0</v>
      </c>
      <c r="F940" s="4">
        <v>67.099999999999994</v>
      </c>
      <c r="H940" s="68">
        <f t="shared" si="14"/>
        <v>0</v>
      </c>
    </row>
    <row r="941" spans="1:8" x14ac:dyDescent="0.2">
      <c r="A941" s="6">
        <v>940</v>
      </c>
      <c r="B941" s="1" t="s">
        <v>13</v>
      </c>
      <c r="C941" s="1" t="s">
        <v>77</v>
      </c>
      <c r="D941" s="4">
        <v>323.3</v>
      </c>
      <c r="E941" s="4">
        <v>179.7</v>
      </c>
      <c r="F941" s="4">
        <v>503</v>
      </c>
      <c r="H941" s="68">
        <f t="shared" si="14"/>
        <v>0.35725646123260435</v>
      </c>
    </row>
    <row r="942" spans="1:8" x14ac:dyDescent="0.2">
      <c r="A942" s="6">
        <v>941</v>
      </c>
      <c r="B942" s="1" t="s">
        <v>13</v>
      </c>
      <c r="C942" s="1" t="s">
        <v>78</v>
      </c>
      <c r="D942" s="4">
        <v>0</v>
      </c>
      <c r="E942" s="4">
        <v>0</v>
      </c>
      <c r="F942" s="4">
        <v>0</v>
      </c>
      <c r="H942" s="68">
        <f t="shared" si="14"/>
        <v>0</v>
      </c>
    </row>
    <row r="943" spans="1:8" x14ac:dyDescent="0.2">
      <c r="A943" s="7">
        <v>942</v>
      </c>
      <c r="B943" s="8" t="s">
        <v>13</v>
      </c>
      <c r="C943" s="8" t="s">
        <v>79</v>
      </c>
      <c r="D943" s="9">
        <v>7570.7000000000016</v>
      </c>
      <c r="E943" s="9">
        <v>7277.9</v>
      </c>
      <c r="F943" s="9">
        <v>14848.600000000002</v>
      </c>
      <c r="H943" s="68">
        <f t="shared" si="14"/>
        <v>0.49014048462481302</v>
      </c>
    </row>
    <row r="944" spans="1:8" x14ac:dyDescent="0.2">
      <c r="A944" s="6">
        <v>943</v>
      </c>
      <c r="B944" s="1" t="s">
        <v>13</v>
      </c>
      <c r="C944" s="1" t="s">
        <v>33</v>
      </c>
      <c r="D944" s="4">
        <v>0.13074458807173883</v>
      </c>
      <c r="E944" s="4">
        <v>0.17600853210543244</v>
      </c>
      <c r="F944" s="4">
        <v>0.14960172970010338</v>
      </c>
      <c r="H944" s="68">
        <f t="shared" si="14"/>
        <v>1.176514017974692</v>
      </c>
    </row>
    <row r="945" spans="1:8" x14ac:dyDescent="0.2">
      <c r="A945" s="6">
        <v>944</v>
      </c>
      <c r="B945" s="1" t="s">
        <v>13</v>
      </c>
      <c r="C945" s="1" t="s">
        <v>80</v>
      </c>
      <c r="D945" s="4">
        <v>0</v>
      </c>
      <c r="E945" s="4">
        <v>2151.9</v>
      </c>
      <c r="F945" s="4">
        <v>2151.9</v>
      </c>
      <c r="H945" s="68">
        <f t="shared" si="14"/>
        <v>1</v>
      </c>
    </row>
    <row r="946" spans="1:8" x14ac:dyDescent="0.2">
      <c r="A946" s="6">
        <v>945</v>
      </c>
      <c r="B946" s="1" t="s">
        <v>13</v>
      </c>
      <c r="C946" s="1" t="s">
        <v>81</v>
      </c>
      <c r="D946" s="4">
        <v>0</v>
      </c>
      <c r="E946" s="4">
        <v>87.5</v>
      </c>
      <c r="F946" s="4">
        <v>87.5</v>
      </c>
      <c r="H946" s="68">
        <f t="shared" si="14"/>
        <v>1</v>
      </c>
    </row>
    <row r="947" spans="1:8" x14ac:dyDescent="0.2">
      <c r="A947" s="6">
        <v>946</v>
      </c>
      <c r="B947" s="1" t="s">
        <v>13</v>
      </c>
      <c r="C947" s="1" t="s">
        <v>82</v>
      </c>
      <c r="D947" s="4">
        <v>0</v>
      </c>
      <c r="E947" s="4">
        <v>210.5</v>
      </c>
      <c r="F947" s="4">
        <v>210.5</v>
      </c>
      <c r="H947" s="68">
        <f t="shared" si="14"/>
        <v>1</v>
      </c>
    </row>
    <row r="948" spans="1:8" x14ac:dyDescent="0.2">
      <c r="A948" s="6">
        <v>947</v>
      </c>
      <c r="B948" s="1" t="s">
        <v>13</v>
      </c>
      <c r="C948" s="1" t="s">
        <v>83</v>
      </c>
      <c r="D948" s="4">
        <v>0</v>
      </c>
      <c r="E948" s="4">
        <v>2612.3000000000002</v>
      </c>
      <c r="F948" s="4">
        <v>2612.3000000000002</v>
      </c>
      <c r="H948" s="68">
        <f t="shared" si="14"/>
        <v>1</v>
      </c>
    </row>
    <row r="949" spans="1:8" x14ac:dyDescent="0.2">
      <c r="A949" s="6">
        <v>948</v>
      </c>
      <c r="B949" s="1" t="s">
        <v>13</v>
      </c>
      <c r="C949" s="1" t="s">
        <v>84</v>
      </c>
      <c r="D949" s="4">
        <v>0</v>
      </c>
      <c r="E949" s="4">
        <v>2179.9</v>
      </c>
      <c r="F949" s="4">
        <v>2179.9</v>
      </c>
      <c r="H949" s="68">
        <f t="shared" si="14"/>
        <v>1</v>
      </c>
    </row>
    <row r="950" spans="1:8" x14ac:dyDescent="0.2">
      <c r="A950" s="6">
        <v>949</v>
      </c>
      <c r="B950" s="1" t="s">
        <v>13</v>
      </c>
      <c r="C950" s="1" t="s">
        <v>85</v>
      </c>
      <c r="D950" s="4">
        <v>0</v>
      </c>
      <c r="E950" s="4">
        <v>0</v>
      </c>
      <c r="F950" s="4">
        <v>0</v>
      </c>
      <c r="H950" s="68">
        <f t="shared" si="14"/>
        <v>0</v>
      </c>
    </row>
    <row r="951" spans="1:8" x14ac:dyDescent="0.2">
      <c r="A951" s="7">
        <v>950</v>
      </c>
      <c r="B951" s="8" t="s">
        <v>13</v>
      </c>
      <c r="C951" s="8" t="s">
        <v>86</v>
      </c>
      <c r="D951" s="9">
        <v>0</v>
      </c>
      <c r="E951" s="9">
        <v>7242.1</v>
      </c>
      <c r="F951" s="9">
        <v>7242.1</v>
      </c>
      <c r="H951" s="68">
        <f t="shared" si="14"/>
        <v>1</v>
      </c>
    </row>
    <row r="952" spans="1:8" x14ac:dyDescent="0.2">
      <c r="A952" s="6">
        <v>951</v>
      </c>
      <c r="B952" s="1" t="s">
        <v>13</v>
      </c>
      <c r="C952" s="1" t="s">
        <v>33</v>
      </c>
      <c r="D952" s="4">
        <v>0</v>
      </c>
      <c r="E952" s="4">
        <v>0.17514274589658452</v>
      </c>
      <c r="F952" s="4">
        <v>7.2965174269703448E-2</v>
      </c>
      <c r="H952" s="68">
        <f t="shared" si="14"/>
        <v>2.4003608248669281</v>
      </c>
    </row>
    <row r="953" spans="1:8" x14ac:dyDescent="0.2">
      <c r="A953" s="6">
        <v>952</v>
      </c>
      <c r="B953" s="1" t="s">
        <v>13</v>
      </c>
      <c r="C953" s="1" t="s">
        <v>87</v>
      </c>
      <c r="D953" s="4">
        <v>0</v>
      </c>
      <c r="E953" s="4">
        <v>0</v>
      </c>
      <c r="F953" s="4">
        <v>0</v>
      </c>
      <c r="H953" s="68">
        <f t="shared" si="14"/>
        <v>0</v>
      </c>
    </row>
    <row r="954" spans="1:8" x14ac:dyDescent="0.2">
      <c r="A954" s="6">
        <v>953</v>
      </c>
      <c r="B954" s="1" t="s">
        <v>13</v>
      </c>
      <c r="C954" s="1" t="s">
        <v>88</v>
      </c>
      <c r="D954" s="4">
        <v>0</v>
      </c>
      <c r="E954" s="4">
        <v>0</v>
      </c>
      <c r="F954" s="4">
        <v>0</v>
      </c>
      <c r="H954" s="68">
        <f t="shared" si="14"/>
        <v>0</v>
      </c>
    </row>
    <row r="955" spans="1:8" x14ac:dyDescent="0.2">
      <c r="A955" s="7">
        <v>954</v>
      </c>
      <c r="B955" s="8" t="s">
        <v>13</v>
      </c>
      <c r="C955" s="8" t="s">
        <v>89</v>
      </c>
      <c r="D955" s="9">
        <v>0</v>
      </c>
      <c r="E955" s="9">
        <v>0</v>
      </c>
      <c r="F955" s="9">
        <v>0</v>
      </c>
      <c r="H955" s="68">
        <f t="shared" si="14"/>
        <v>0</v>
      </c>
    </row>
    <row r="956" spans="1:8" x14ac:dyDescent="0.2">
      <c r="A956" s="6">
        <v>955</v>
      </c>
      <c r="B956" s="1" t="s">
        <v>13</v>
      </c>
      <c r="C956" s="1" t="s">
        <v>33</v>
      </c>
      <c r="D956" s="4">
        <v>0</v>
      </c>
      <c r="E956" s="4">
        <v>0</v>
      </c>
      <c r="F956" s="4">
        <v>0</v>
      </c>
      <c r="H956" s="68">
        <f t="shared" si="14"/>
        <v>0</v>
      </c>
    </row>
    <row r="957" spans="1:8" x14ac:dyDescent="0.2">
      <c r="A957" s="6">
        <v>956</v>
      </c>
      <c r="B957" s="1" t="s">
        <v>13</v>
      </c>
      <c r="C957" s="1" t="s">
        <v>90</v>
      </c>
      <c r="D957" s="4">
        <v>0</v>
      </c>
      <c r="E957" s="4">
        <v>0</v>
      </c>
      <c r="F957" s="4">
        <v>0</v>
      </c>
      <c r="H957" s="68">
        <f t="shared" si="14"/>
        <v>0</v>
      </c>
    </row>
    <row r="958" spans="1:8" x14ac:dyDescent="0.2">
      <c r="A958" s="6">
        <v>957</v>
      </c>
      <c r="B958" s="1" t="s">
        <v>13</v>
      </c>
      <c r="C958" s="1" t="s">
        <v>33</v>
      </c>
      <c r="D958" s="4">
        <v>0</v>
      </c>
      <c r="E958" s="4">
        <v>0</v>
      </c>
      <c r="F958" s="4">
        <v>0</v>
      </c>
      <c r="H958" s="68">
        <f t="shared" si="14"/>
        <v>0</v>
      </c>
    </row>
    <row r="959" spans="1:8" x14ac:dyDescent="0.2">
      <c r="A959" s="6">
        <v>958</v>
      </c>
      <c r="B959" s="1" t="s">
        <v>13</v>
      </c>
      <c r="C959" s="1" t="s">
        <v>91</v>
      </c>
      <c r="D959" s="4">
        <v>577.6</v>
      </c>
      <c r="E959" s="4">
        <v>212</v>
      </c>
      <c r="F959" s="4">
        <v>789.6</v>
      </c>
      <c r="H959" s="68">
        <f t="shared" si="14"/>
        <v>0.26849037487335359</v>
      </c>
    </row>
    <row r="960" spans="1:8" x14ac:dyDescent="0.2">
      <c r="A960" s="6">
        <v>959</v>
      </c>
      <c r="B960" s="1" t="s">
        <v>13</v>
      </c>
      <c r="C960" s="1" t="s">
        <v>33</v>
      </c>
      <c r="D960" s="4">
        <v>9.975045117391567E-3</v>
      </c>
      <c r="E960" s="4">
        <v>5.1270021306079614E-3</v>
      </c>
      <c r="F960" s="4">
        <v>7.9553308575354992E-3</v>
      </c>
      <c r="H960" s="68">
        <f t="shared" si="14"/>
        <v>0.64447377769983383</v>
      </c>
    </row>
    <row r="961" spans="1:8" x14ac:dyDescent="0.2">
      <c r="A961" s="10">
        <v>960</v>
      </c>
      <c r="B961" s="11" t="s">
        <v>13</v>
      </c>
      <c r="C961" s="11" t="s">
        <v>2</v>
      </c>
      <c r="D961" s="12">
        <v>57904.500000000007</v>
      </c>
      <c r="E961" s="12">
        <v>41349.699999999997</v>
      </c>
      <c r="F961" s="12">
        <v>99254.200000000012</v>
      </c>
      <c r="H961" s="68">
        <f t="shared" si="14"/>
        <v>0.41660403287719805</v>
      </c>
    </row>
    <row r="962" spans="1:8" x14ac:dyDescent="0.2">
      <c r="A962" s="6">
        <v>961</v>
      </c>
      <c r="B962" s="1" t="s">
        <v>14</v>
      </c>
      <c r="C962" s="1" t="s">
        <v>23</v>
      </c>
      <c r="D962" s="4">
        <v>309934.8</v>
      </c>
      <c r="E962" s="4">
        <v>21497.200000000001</v>
      </c>
      <c r="F962" s="4">
        <v>331432</v>
      </c>
      <c r="H962" s="68">
        <f t="shared" si="14"/>
        <v>6.4861570397547613E-2</v>
      </c>
    </row>
    <row r="963" spans="1:8" x14ac:dyDescent="0.2">
      <c r="A963" s="6">
        <v>962</v>
      </c>
      <c r="B963" s="1" t="s">
        <v>14</v>
      </c>
      <c r="C963" s="1" t="s">
        <v>24</v>
      </c>
      <c r="D963" s="4">
        <v>289.89999999999998</v>
      </c>
      <c r="E963" s="4">
        <v>2050.4</v>
      </c>
      <c r="F963" s="4">
        <v>2340.3000000000002</v>
      </c>
      <c r="H963" s="68">
        <f t="shared" ref="H963:H1026" si="15">IFERROR(E963/F963,0)</f>
        <v>0.87612699226594881</v>
      </c>
    </row>
    <row r="964" spans="1:8" x14ac:dyDescent="0.2">
      <c r="A964" s="6">
        <v>963</v>
      </c>
      <c r="B964" s="1" t="s">
        <v>14</v>
      </c>
      <c r="C964" s="1" t="s">
        <v>25</v>
      </c>
      <c r="D964" s="4">
        <v>0</v>
      </c>
      <c r="E964" s="4">
        <v>0</v>
      </c>
      <c r="F964" s="4">
        <v>0</v>
      </c>
      <c r="H964" s="68">
        <f t="shared" si="15"/>
        <v>0</v>
      </c>
    </row>
    <row r="965" spans="1:8" x14ac:dyDescent="0.2">
      <c r="A965" s="6">
        <v>964</v>
      </c>
      <c r="B965" s="1" t="s">
        <v>14</v>
      </c>
      <c r="C965" s="1" t="s">
        <v>26</v>
      </c>
      <c r="D965" s="4">
        <v>92017</v>
      </c>
      <c r="E965" s="4">
        <v>0</v>
      </c>
      <c r="F965" s="4">
        <v>92017</v>
      </c>
      <c r="H965" s="68">
        <f t="shared" si="15"/>
        <v>0</v>
      </c>
    </row>
    <row r="966" spans="1:8" x14ac:dyDescent="0.2">
      <c r="A966" s="6">
        <v>965</v>
      </c>
      <c r="B966" s="1" t="s">
        <v>14</v>
      </c>
      <c r="C966" s="1" t="s">
        <v>27</v>
      </c>
      <c r="D966" s="4">
        <v>6844.8</v>
      </c>
      <c r="E966" s="4">
        <v>308.2</v>
      </c>
      <c r="F966" s="4">
        <v>7153</v>
      </c>
      <c r="H966" s="68">
        <f t="shared" si="15"/>
        <v>4.3086816720257236E-2</v>
      </c>
    </row>
    <row r="967" spans="1:8" x14ac:dyDescent="0.2">
      <c r="A967" s="6">
        <v>966</v>
      </c>
      <c r="B967" s="1" t="s">
        <v>14</v>
      </c>
      <c r="C967" s="1" t="s">
        <v>28</v>
      </c>
      <c r="D967" s="4">
        <v>0</v>
      </c>
      <c r="E967" s="4">
        <v>0</v>
      </c>
      <c r="F967" s="4">
        <v>0</v>
      </c>
      <c r="H967" s="68">
        <f t="shared" si="15"/>
        <v>0</v>
      </c>
    </row>
    <row r="968" spans="1:8" x14ac:dyDescent="0.2">
      <c r="A968" s="6">
        <v>967</v>
      </c>
      <c r="B968" s="1" t="s">
        <v>14</v>
      </c>
      <c r="C968" s="1" t="s">
        <v>29</v>
      </c>
      <c r="D968" s="4">
        <v>15280.9</v>
      </c>
      <c r="E968" s="4">
        <v>80.900000000000006</v>
      </c>
      <c r="F968" s="4">
        <v>15361.8</v>
      </c>
      <c r="H968" s="68">
        <f t="shared" si="15"/>
        <v>5.2663099376375174E-3</v>
      </c>
    </row>
    <row r="969" spans="1:8" x14ac:dyDescent="0.2">
      <c r="A969" s="6">
        <v>968</v>
      </c>
      <c r="B969" s="1" t="s">
        <v>14</v>
      </c>
      <c r="C969" s="1" t="s">
        <v>30</v>
      </c>
      <c r="D969" s="4">
        <v>62654.3</v>
      </c>
      <c r="E969" s="4">
        <v>37836</v>
      </c>
      <c r="F969" s="4">
        <v>100490.3</v>
      </c>
      <c r="H969" s="68">
        <f t="shared" si="15"/>
        <v>0.37651395209288857</v>
      </c>
    </row>
    <row r="970" spans="1:8" x14ac:dyDescent="0.2">
      <c r="A970" s="6">
        <v>969</v>
      </c>
      <c r="B970" s="1" t="s">
        <v>14</v>
      </c>
      <c r="C970" s="1" t="s">
        <v>31</v>
      </c>
      <c r="D970" s="4">
        <v>1201.9000000000001</v>
      </c>
      <c r="E970" s="4">
        <v>4.2</v>
      </c>
      <c r="F970" s="4">
        <v>1206.1000000000001</v>
      </c>
      <c r="H970" s="68">
        <f t="shared" si="15"/>
        <v>3.4822983168891464E-3</v>
      </c>
    </row>
    <row r="971" spans="1:8" x14ac:dyDescent="0.2">
      <c r="A971" s="7">
        <v>970</v>
      </c>
      <c r="B971" s="8" t="s">
        <v>14</v>
      </c>
      <c r="C971" s="8" t="s">
        <v>32</v>
      </c>
      <c r="D971" s="9">
        <v>488223.60000000003</v>
      </c>
      <c r="E971" s="9">
        <v>61776.9</v>
      </c>
      <c r="F971" s="9">
        <v>550000.5</v>
      </c>
      <c r="H971" s="68">
        <f t="shared" si="15"/>
        <v>0.11232153425315068</v>
      </c>
    </row>
    <row r="972" spans="1:8" x14ac:dyDescent="0.2">
      <c r="A972" s="6">
        <v>971</v>
      </c>
      <c r="B972" s="1" t="s">
        <v>14</v>
      </c>
      <c r="C972" s="1" t="s">
        <v>33</v>
      </c>
      <c r="D972" s="4">
        <v>0.43808793997354722</v>
      </c>
      <c r="E972" s="4">
        <v>4.6247083210747719E-2</v>
      </c>
      <c r="F972" s="4">
        <v>0.22446773646532206</v>
      </c>
      <c r="H972" s="68">
        <f t="shared" si="15"/>
        <v>0.20602997980465854</v>
      </c>
    </row>
    <row r="973" spans="1:8" x14ac:dyDescent="0.2">
      <c r="A973" s="6">
        <v>972</v>
      </c>
      <c r="B973" s="1" t="s">
        <v>14</v>
      </c>
      <c r="C973" s="1" t="s">
        <v>34</v>
      </c>
      <c r="D973" s="4">
        <v>46531.6</v>
      </c>
      <c r="E973" s="4">
        <v>261769.3</v>
      </c>
      <c r="F973" s="4">
        <v>308300.89999999997</v>
      </c>
      <c r="H973" s="68">
        <f t="shared" si="15"/>
        <v>0.84907082658532629</v>
      </c>
    </row>
    <row r="974" spans="1:8" x14ac:dyDescent="0.2">
      <c r="A974" s="6">
        <v>973</v>
      </c>
      <c r="B974" s="1" t="s">
        <v>14</v>
      </c>
      <c r="C974" s="1" t="s">
        <v>35</v>
      </c>
      <c r="D974" s="4">
        <v>22752.400000000001</v>
      </c>
      <c r="E974" s="4">
        <v>162447.9</v>
      </c>
      <c r="F974" s="4">
        <v>185200.3</v>
      </c>
      <c r="H974" s="68">
        <f t="shared" si="15"/>
        <v>0.87714706725637059</v>
      </c>
    </row>
    <row r="975" spans="1:8" x14ac:dyDescent="0.2">
      <c r="A975" s="6">
        <v>974</v>
      </c>
      <c r="B975" s="1" t="s">
        <v>14</v>
      </c>
      <c r="C975" s="1" t="s">
        <v>36</v>
      </c>
      <c r="D975" s="4">
        <v>287.89999999999998</v>
      </c>
      <c r="E975" s="4">
        <v>3248.5</v>
      </c>
      <c r="F975" s="4">
        <v>3536.4</v>
      </c>
      <c r="H975" s="68">
        <f t="shared" si="15"/>
        <v>0.91858952607171129</v>
      </c>
    </row>
    <row r="976" spans="1:8" x14ac:dyDescent="0.2">
      <c r="A976" s="6">
        <v>975</v>
      </c>
      <c r="B976" s="1" t="s">
        <v>14</v>
      </c>
      <c r="C976" s="1" t="s">
        <v>37</v>
      </c>
      <c r="D976" s="4">
        <v>28451.1</v>
      </c>
      <c r="E976" s="4">
        <v>9615.6</v>
      </c>
      <c r="F976" s="4">
        <v>38066.699999999997</v>
      </c>
      <c r="H976" s="68">
        <f t="shared" si="15"/>
        <v>0.25259872802212963</v>
      </c>
    </row>
    <row r="977" spans="1:8" x14ac:dyDescent="0.2">
      <c r="A977" s="7">
        <v>976</v>
      </c>
      <c r="B977" s="8" t="s">
        <v>14</v>
      </c>
      <c r="C977" s="8" t="s">
        <v>38</v>
      </c>
      <c r="D977" s="9">
        <v>98023</v>
      </c>
      <c r="E977" s="9">
        <v>437081.29999999993</v>
      </c>
      <c r="F977" s="9">
        <v>535104.29999999993</v>
      </c>
      <c r="H977" s="68">
        <f t="shared" si="15"/>
        <v>0.81681515173770791</v>
      </c>
    </row>
    <row r="978" spans="1:8" x14ac:dyDescent="0.2">
      <c r="A978" s="6">
        <v>977</v>
      </c>
      <c r="B978" s="1" t="s">
        <v>14</v>
      </c>
      <c r="C978" s="1" t="s">
        <v>33</v>
      </c>
      <c r="D978" s="4">
        <v>8.7957022438134941E-2</v>
      </c>
      <c r="E978" s="4">
        <v>0.32720539960667794</v>
      </c>
      <c r="F978" s="4">
        <v>0.21838825781769403</v>
      </c>
      <c r="H978" s="68">
        <f t="shared" si="15"/>
        <v>1.4982737756890858</v>
      </c>
    </row>
    <row r="979" spans="1:8" x14ac:dyDescent="0.2">
      <c r="A979" s="6">
        <v>978</v>
      </c>
      <c r="B979" s="1" t="s">
        <v>14</v>
      </c>
      <c r="C979" s="1" t="s">
        <v>39</v>
      </c>
      <c r="D979" s="4">
        <v>2090.6</v>
      </c>
      <c r="E979" s="4">
        <v>6400.1</v>
      </c>
      <c r="F979" s="4">
        <v>8490.7000000000007</v>
      </c>
      <c r="H979" s="68">
        <f t="shared" si="15"/>
        <v>0.75377766261910084</v>
      </c>
    </row>
    <row r="980" spans="1:8" x14ac:dyDescent="0.2">
      <c r="A980" s="6">
        <v>979</v>
      </c>
      <c r="B980" s="1" t="s">
        <v>14</v>
      </c>
      <c r="C980" s="1" t="s">
        <v>40</v>
      </c>
      <c r="D980" s="4">
        <v>5626.6</v>
      </c>
      <c r="E980" s="4">
        <v>16925.8</v>
      </c>
      <c r="F980" s="4">
        <v>22552.400000000001</v>
      </c>
      <c r="H980" s="68">
        <f t="shared" si="15"/>
        <v>0.7505099235558077</v>
      </c>
    </row>
    <row r="981" spans="1:8" x14ac:dyDescent="0.2">
      <c r="A981" s="6">
        <v>980</v>
      </c>
      <c r="B981" s="1" t="s">
        <v>14</v>
      </c>
      <c r="C981" s="1" t="s">
        <v>41</v>
      </c>
      <c r="D981" s="4">
        <v>829</v>
      </c>
      <c r="E981" s="4">
        <v>3739.6</v>
      </c>
      <c r="F981" s="4">
        <v>4568.6000000000004</v>
      </c>
      <c r="H981" s="68">
        <f t="shared" si="15"/>
        <v>0.8185439740839644</v>
      </c>
    </row>
    <row r="982" spans="1:8" x14ac:dyDescent="0.2">
      <c r="A982" s="6">
        <v>981</v>
      </c>
      <c r="B982" s="1" t="s">
        <v>14</v>
      </c>
      <c r="C982" s="1" t="s">
        <v>42</v>
      </c>
      <c r="D982" s="4">
        <v>8778.5</v>
      </c>
      <c r="E982" s="4">
        <v>83776.899999999994</v>
      </c>
      <c r="F982" s="4">
        <v>92555.4</v>
      </c>
      <c r="H982" s="68">
        <f t="shared" si="15"/>
        <v>0.90515410229981175</v>
      </c>
    </row>
    <row r="983" spans="1:8" x14ac:dyDescent="0.2">
      <c r="A983" s="6">
        <v>982</v>
      </c>
      <c r="B983" s="1" t="s">
        <v>14</v>
      </c>
      <c r="C983" s="1" t="s">
        <v>43</v>
      </c>
      <c r="D983" s="4">
        <v>7051.9</v>
      </c>
      <c r="E983" s="4">
        <v>47427.7</v>
      </c>
      <c r="F983" s="4">
        <v>54479.6</v>
      </c>
      <c r="H983" s="68">
        <f t="shared" si="15"/>
        <v>0.8705588880975631</v>
      </c>
    </row>
    <row r="984" spans="1:8" x14ac:dyDescent="0.2">
      <c r="A984" s="6">
        <v>983</v>
      </c>
      <c r="B984" s="1" t="s">
        <v>14</v>
      </c>
      <c r="C984" s="1" t="s">
        <v>44</v>
      </c>
      <c r="D984" s="4">
        <v>190.2</v>
      </c>
      <c r="E984" s="4">
        <v>2353</v>
      </c>
      <c r="F984" s="4">
        <v>2543.1999999999998</v>
      </c>
      <c r="H984" s="68">
        <f t="shared" si="15"/>
        <v>0.92521233092167354</v>
      </c>
    </row>
    <row r="985" spans="1:8" x14ac:dyDescent="0.2">
      <c r="A985" s="7">
        <v>984</v>
      </c>
      <c r="B985" s="8" t="s">
        <v>14</v>
      </c>
      <c r="C985" s="8" t="s">
        <v>45</v>
      </c>
      <c r="D985" s="9">
        <v>24566.799999999999</v>
      </c>
      <c r="E985" s="9">
        <v>160623.09999999998</v>
      </c>
      <c r="F985" s="9">
        <v>185189.89999999997</v>
      </c>
      <c r="H985" s="68">
        <f t="shared" si="15"/>
        <v>0.86734265745594119</v>
      </c>
    </row>
    <row r="986" spans="1:8" x14ac:dyDescent="0.2">
      <c r="A986" s="6">
        <v>985</v>
      </c>
      <c r="B986" s="1" t="s">
        <v>14</v>
      </c>
      <c r="C986" s="1" t="s">
        <v>33</v>
      </c>
      <c r="D986" s="4">
        <v>2.2044036387716896E-2</v>
      </c>
      <c r="E986" s="4">
        <v>0.12024478196976945</v>
      </c>
      <c r="F986" s="4">
        <v>7.5580217962055191E-2</v>
      </c>
      <c r="H986" s="68">
        <f t="shared" si="15"/>
        <v>1.5909557449296847</v>
      </c>
    </row>
    <row r="987" spans="1:8" x14ac:dyDescent="0.2">
      <c r="A987" s="6">
        <v>986</v>
      </c>
      <c r="B987" s="1" t="s">
        <v>14</v>
      </c>
      <c r="C987" s="1" t="s">
        <v>46</v>
      </c>
      <c r="D987" s="4">
        <v>75129.399999999994</v>
      </c>
      <c r="E987" s="4">
        <v>14774.8</v>
      </c>
      <c r="F987" s="4">
        <v>89904.2</v>
      </c>
      <c r="H987" s="68">
        <f t="shared" si="15"/>
        <v>0.16433937457871822</v>
      </c>
    </row>
    <row r="988" spans="1:8" x14ac:dyDescent="0.2">
      <c r="A988" s="6">
        <v>987</v>
      </c>
      <c r="B988" s="1" t="s">
        <v>14</v>
      </c>
      <c r="C988" s="1" t="s">
        <v>47</v>
      </c>
      <c r="D988" s="4">
        <v>42758.6</v>
      </c>
      <c r="E988" s="4">
        <v>4337.8999999999996</v>
      </c>
      <c r="F988" s="4">
        <v>47096.5</v>
      </c>
      <c r="H988" s="68">
        <f t="shared" si="15"/>
        <v>9.2106632127652785E-2</v>
      </c>
    </row>
    <row r="989" spans="1:8" x14ac:dyDescent="0.2">
      <c r="A989" s="6">
        <v>988</v>
      </c>
      <c r="B989" s="1" t="s">
        <v>14</v>
      </c>
      <c r="C989" s="1" t="s">
        <v>48</v>
      </c>
      <c r="D989" s="4">
        <v>2293.1999999999998</v>
      </c>
      <c r="E989" s="4">
        <v>755.7</v>
      </c>
      <c r="F989" s="4">
        <v>3048.8999999999996</v>
      </c>
      <c r="H989" s="68">
        <f t="shared" si="15"/>
        <v>0.24785988389255145</v>
      </c>
    </row>
    <row r="990" spans="1:8" x14ac:dyDescent="0.2">
      <c r="A990" s="6">
        <v>989</v>
      </c>
      <c r="B990" s="1" t="s">
        <v>14</v>
      </c>
      <c r="C990" s="1" t="s">
        <v>49</v>
      </c>
      <c r="D990" s="4">
        <v>6456.9</v>
      </c>
      <c r="E990" s="4">
        <v>23500.400000000001</v>
      </c>
      <c r="F990" s="4">
        <v>29957.300000000003</v>
      </c>
      <c r="H990" s="68">
        <f t="shared" si="15"/>
        <v>0.78446321931549234</v>
      </c>
    </row>
    <row r="991" spans="1:8" x14ac:dyDescent="0.2">
      <c r="A991" s="6">
        <v>990</v>
      </c>
      <c r="B991" s="1" t="s">
        <v>14</v>
      </c>
      <c r="C991" s="1" t="s">
        <v>50</v>
      </c>
      <c r="D991" s="4">
        <v>14916.7</v>
      </c>
      <c r="E991" s="4">
        <v>20354</v>
      </c>
      <c r="F991" s="4">
        <v>35270.699999999997</v>
      </c>
      <c r="H991" s="68">
        <f t="shared" si="15"/>
        <v>0.57707955895403273</v>
      </c>
    </row>
    <row r="992" spans="1:8" x14ac:dyDescent="0.2">
      <c r="A992" s="7">
        <v>991</v>
      </c>
      <c r="B992" s="8" t="s">
        <v>14</v>
      </c>
      <c r="C992" s="8" t="s">
        <v>51</v>
      </c>
      <c r="D992" s="9">
        <v>141554.79999999999</v>
      </c>
      <c r="E992" s="9">
        <v>63722.8</v>
      </c>
      <c r="F992" s="9">
        <v>205277.59999999998</v>
      </c>
      <c r="H992" s="68">
        <f t="shared" si="15"/>
        <v>0.31042256924282052</v>
      </c>
    </row>
    <row r="993" spans="1:8" x14ac:dyDescent="0.2">
      <c r="A993" s="6">
        <v>992</v>
      </c>
      <c r="B993" s="1" t="s">
        <v>14</v>
      </c>
      <c r="C993" s="1" t="s">
        <v>33</v>
      </c>
      <c r="D993" s="4">
        <v>0.12701854380936825</v>
      </c>
      <c r="E993" s="4">
        <v>4.7703812169627074E-2</v>
      </c>
      <c r="F993" s="4">
        <v>8.3778466054183209E-2</v>
      </c>
      <c r="H993" s="68">
        <f t="shared" si="15"/>
        <v>0.56940422063558582</v>
      </c>
    </row>
    <row r="994" spans="1:8" x14ac:dyDescent="0.2">
      <c r="A994" s="6">
        <v>993</v>
      </c>
      <c r="B994" s="1" t="s">
        <v>14</v>
      </c>
      <c r="C994" s="1" t="s">
        <v>52</v>
      </c>
      <c r="D994" s="4">
        <v>3664.3</v>
      </c>
      <c r="E994" s="4">
        <v>17515.400000000001</v>
      </c>
      <c r="F994" s="4">
        <v>21179.7</v>
      </c>
      <c r="H994" s="68">
        <f t="shared" si="15"/>
        <v>0.82698999513685278</v>
      </c>
    </row>
    <row r="995" spans="1:8" x14ac:dyDescent="0.2">
      <c r="A995" s="6">
        <v>994</v>
      </c>
      <c r="B995" s="1" t="s">
        <v>14</v>
      </c>
      <c r="C995" s="1" t="s">
        <v>53</v>
      </c>
      <c r="D995" s="4">
        <v>202.7</v>
      </c>
      <c r="E995" s="4">
        <v>23252.400000000001</v>
      </c>
      <c r="F995" s="4">
        <v>23455.100000000002</v>
      </c>
      <c r="H995" s="68">
        <f t="shared" si="15"/>
        <v>0.99135795626537504</v>
      </c>
    </row>
    <row r="996" spans="1:8" x14ac:dyDescent="0.2">
      <c r="A996" s="6">
        <v>995</v>
      </c>
      <c r="B996" s="1" t="s">
        <v>14</v>
      </c>
      <c r="C996" s="1" t="s">
        <v>54</v>
      </c>
      <c r="D996" s="4">
        <v>4173.3</v>
      </c>
      <c r="E996" s="4">
        <v>5969.1</v>
      </c>
      <c r="F996" s="4">
        <v>10142.400000000001</v>
      </c>
      <c r="H996" s="68">
        <f t="shared" si="15"/>
        <v>0.58852934216753428</v>
      </c>
    </row>
    <row r="997" spans="1:8" x14ac:dyDescent="0.2">
      <c r="A997" s="6">
        <v>996</v>
      </c>
      <c r="B997" s="1" t="s">
        <v>14</v>
      </c>
      <c r="C997" s="1" t="s">
        <v>55</v>
      </c>
      <c r="D997" s="4">
        <v>2011.7</v>
      </c>
      <c r="E997" s="4">
        <v>61.1</v>
      </c>
      <c r="F997" s="4">
        <v>2072.8000000000002</v>
      </c>
      <c r="H997" s="68">
        <f t="shared" si="15"/>
        <v>2.9477035893477419E-2</v>
      </c>
    </row>
    <row r="998" spans="1:8" x14ac:dyDescent="0.2">
      <c r="A998" s="6">
        <v>997</v>
      </c>
      <c r="B998" s="1" t="s">
        <v>14</v>
      </c>
      <c r="C998" s="1" t="s">
        <v>56</v>
      </c>
      <c r="D998" s="4">
        <v>149103.5</v>
      </c>
      <c r="E998" s="4">
        <v>141594.70000000001</v>
      </c>
      <c r="F998" s="4">
        <v>290698.2</v>
      </c>
      <c r="H998" s="68">
        <f t="shared" si="15"/>
        <v>0.48708488735052369</v>
      </c>
    </row>
    <row r="999" spans="1:8" x14ac:dyDescent="0.2">
      <c r="A999" s="6">
        <v>998</v>
      </c>
      <c r="B999" s="1" t="s">
        <v>14</v>
      </c>
      <c r="C999" s="1" t="s">
        <v>57</v>
      </c>
      <c r="D999" s="4">
        <v>0</v>
      </c>
      <c r="E999" s="4">
        <v>112108.8</v>
      </c>
      <c r="F999" s="4">
        <v>112108.8</v>
      </c>
      <c r="H999" s="68">
        <f t="shared" si="15"/>
        <v>1</v>
      </c>
    </row>
    <row r="1000" spans="1:8" x14ac:dyDescent="0.2">
      <c r="A1000" s="6">
        <v>999</v>
      </c>
      <c r="B1000" s="1" t="s">
        <v>14</v>
      </c>
      <c r="C1000" s="1" t="s">
        <v>58</v>
      </c>
      <c r="D1000" s="4">
        <v>8552</v>
      </c>
      <c r="E1000" s="4">
        <v>819</v>
      </c>
      <c r="F1000" s="4">
        <v>9371</v>
      </c>
      <c r="H1000" s="68">
        <f t="shared" si="15"/>
        <v>8.7397289510191017E-2</v>
      </c>
    </row>
    <row r="1001" spans="1:8" x14ac:dyDescent="0.2">
      <c r="A1001" s="7">
        <v>1000</v>
      </c>
      <c r="B1001" s="8" t="s">
        <v>14</v>
      </c>
      <c r="C1001" s="8" t="s">
        <v>59</v>
      </c>
      <c r="D1001" s="9">
        <v>167707.5</v>
      </c>
      <c r="E1001" s="9">
        <v>301320.5</v>
      </c>
      <c r="F1001" s="9">
        <v>469028</v>
      </c>
      <c r="H1001" s="68">
        <f t="shared" si="15"/>
        <v>0.64243605925445812</v>
      </c>
    </row>
    <row r="1002" spans="1:8" x14ac:dyDescent="0.2">
      <c r="A1002" s="6">
        <v>1001</v>
      </c>
      <c r="B1002" s="1" t="s">
        <v>14</v>
      </c>
      <c r="C1002" s="1" t="s">
        <v>33</v>
      </c>
      <c r="D1002" s="4">
        <v>0.15048562419578584</v>
      </c>
      <c r="E1002" s="4">
        <v>0.22557289596279689</v>
      </c>
      <c r="F1002" s="4">
        <v>0.19142101416063634</v>
      </c>
      <c r="H1002" s="68">
        <f t="shared" si="15"/>
        <v>1.1784123961097659</v>
      </c>
    </row>
    <row r="1003" spans="1:8" x14ac:dyDescent="0.2">
      <c r="A1003" s="6">
        <v>1002</v>
      </c>
      <c r="B1003" s="1" t="s">
        <v>14</v>
      </c>
      <c r="C1003" s="1" t="s">
        <v>60</v>
      </c>
      <c r="D1003" s="4">
        <v>6142.3</v>
      </c>
      <c r="E1003" s="4">
        <v>509.1</v>
      </c>
      <c r="F1003" s="4">
        <v>6651.4000000000005</v>
      </c>
      <c r="H1003" s="68">
        <f t="shared" si="15"/>
        <v>7.6540277234867851E-2</v>
      </c>
    </row>
    <row r="1004" spans="1:8" x14ac:dyDescent="0.2">
      <c r="A1004" s="6">
        <v>1003</v>
      </c>
      <c r="B1004" s="1" t="s">
        <v>14</v>
      </c>
      <c r="C1004" s="1" t="s">
        <v>61</v>
      </c>
      <c r="D1004" s="4">
        <v>0</v>
      </c>
      <c r="E1004" s="4">
        <v>0</v>
      </c>
      <c r="F1004" s="4">
        <v>0</v>
      </c>
      <c r="H1004" s="68">
        <f t="shared" si="15"/>
        <v>0</v>
      </c>
    </row>
    <row r="1005" spans="1:8" x14ac:dyDescent="0.2">
      <c r="A1005" s="6">
        <v>1004</v>
      </c>
      <c r="B1005" s="1" t="s">
        <v>14</v>
      </c>
      <c r="C1005" s="1" t="s">
        <v>62</v>
      </c>
      <c r="D1005" s="4">
        <v>22122.799999999999</v>
      </c>
      <c r="E1005" s="4">
        <v>1487.9</v>
      </c>
      <c r="F1005" s="4">
        <v>23610.7</v>
      </c>
      <c r="H1005" s="68">
        <f t="shared" si="15"/>
        <v>6.3018038431727985E-2</v>
      </c>
    </row>
    <row r="1006" spans="1:8" x14ac:dyDescent="0.2">
      <c r="A1006" s="6">
        <v>1005</v>
      </c>
      <c r="B1006" s="1" t="s">
        <v>14</v>
      </c>
      <c r="C1006" s="1" t="s">
        <v>63</v>
      </c>
      <c r="D1006" s="4">
        <v>360.8</v>
      </c>
      <c r="E1006" s="4">
        <v>289.60000000000002</v>
      </c>
      <c r="F1006" s="4">
        <v>650.40000000000009</v>
      </c>
      <c r="H1006" s="68">
        <f t="shared" si="15"/>
        <v>0.44526445264452641</v>
      </c>
    </row>
    <row r="1007" spans="1:8" x14ac:dyDescent="0.2">
      <c r="A1007" s="6">
        <v>1006</v>
      </c>
      <c r="B1007" s="1" t="s">
        <v>14</v>
      </c>
      <c r="C1007" s="1" t="s">
        <v>64</v>
      </c>
      <c r="D1007" s="4">
        <v>15407.4</v>
      </c>
      <c r="E1007" s="4">
        <v>1159</v>
      </c>
      <c r="F1007" s="4">
        <v>16566.400000000001</v>
      </c>
      <c r="H1007" s="68">
        <f t="shared" si="15"/>
        <v>6.9960884682248398E-2</v>
      </c>
    </row>
    <row r="1008" spans="1:8" x14ac:dyDescent="0.2">
      <c r="A1008" s="7">
        <v>1007</v>
      </c>
      <c r="B1008" s="8" t="s">
        <v>14</v>
      </c>
      <c r="C1008" s="8" t="s">
        <v>65</v>
      </c>
      <c r="D1008" s="9">
        <v>44033.299999999996</v>
      </c>
      <c r="E1008" s="9">
        <v>3445.6</v>
      </c>
      <c r="F1008" s="9">
        <v>47478.899999999994</v>
      </c>
      <c r="H1008" s="68">
        <f t="shared" si="15"/>
        <v>7.2571184252373161E-2</v>
      </c>
    </row>
    <row r="1009" spans="1:8" x14ac:dyDescent="0.2">
      <c r="A1009" s="6">
        <v>1008</v>
      </c>
      <c r="B1009" s="1" t="s">
        <v>14</v>
      </c>
      <c r="C1009" s="1" t="s">
        <v>33</v>
      </c>
      <c r="D1009" s="4">
        <v>3.9511522358274355E-2</v>
      </c>
      <c r="E1009" s="4">
        <v>2.5794261270952789E-3</v>
      </c>
      <c r="F1009" s="4">
        <v>1.9377220953187092E-2</v>
      </c>
      <c r="H1009" s="68">
        <f t="shared" si="15"/>
        <v>0.13311641196262586</v>
      </c>
    </row>
    <row r="1010" spans="1:8" x14ac:dyDescent="0.2">
      <c r="A1010" s="6">
        <v>1009</v>
      </c>
      <c r="B1010" s="1" t="s">
        <v>14</v>
      </c>
      <c r="C1010" s="1" t="s">
        <v>66</v>
      </c>
      <c r="D1010" s="4">
        <v>2577.6999999999998</v>
      </c>
      <c r="E1010" s="4">
        <v>2947.3</v>
      </c>
      <c r="F1010" s="4">
        <v>5525</v>
      </c>
      <c r="H1010" s="68">
        <f t="shared" si="15"/>
        <v>0.53344796380090498</v>
      </c>
    </row>
    <row r="1011" spans="1:8" x14ac:dyDescent="0.2">
      <c r="A1011" s="6">
        <v>1010</v>
      </c>
      <c r="B1011" s="1" t="s">
        <v>14</v>
      </c>
      <c r="C1011" s="1" t="s">
        <v>67</v>
      </c>
      <c r="D1011" s="4">
        <v>11540</v>
      </c>
      <c r="E1011" s="4">
        <v>16390.8</v>
      </c>
      <c r="F1011" s="4">
        <v>27930.799999999999</v>
      </c>
      <c r="H1011" s="68">
        <f t="shared" si="15"/>
        <v>0.58683603763587155</v>
      </c>
    </row>
    <row r="1012" spans="1:8" x14ac:dyDescent="0.2">
      <c r="A1012" s="6">
        <v>1011</v>
      </c>
      <c r="B1012" s="1" t="s">
        <v>14</v>
      </c>
      <c r="C1012" s="1" t="s">
        <v>68</v>
      </c>
      <c r="D1012" s="4">
        <v>35571.599999999999</v>
      </c>
      <c r="E1012" s="4">
        <v>25630.3</v>
      </c>
      <c r="F1012" s="4">
        <v>61201.899999999994</v>
      </c>
      <c r="H1012" s="68">
        <f t="shared" si="15"/>
        <v>0.4187827502087354</v>
      </c>
    </row>
    <row r="1013" spans="1:8" x14ac:dyDescent="0.2">
      <c r="A1013" s="6">
        <v>1012</v>
      </c>
      <c r="B1013" s="1" t="s">
        <v>14</v>
      </c>
      <c r="C1013" s="1" t="s">
        <v>69</v>
      </c>
      <c r="D1013" s="4">
        <v>2311.3000000000002</v>
      </c>
      <c r="E1013" s="4">
        <v>1046.4000000000001</v>
      </c>
      <c r="F1013" s="4">
        <v>3357.7000000000003</v>
      </c>
      <c r="H1013" s="68">
        <f t="shared" si="15"/>
        <v>0.31164189772761114</v>
      </c>
    </row>
    <row r="1014" spans="1:8" x14ac:dyDescent="0.2">
      <c r="A1014" s="6">
        <v>1013</v>
      </c>
      <c r="B1014" s="1" t="s">
        <v>14</v>
      </c>
      <c r="C1014" s="1" t="s">
        <v>70</v>
      </c>
      <c r="D1014" s="4">
        <v>27563.3</v>
      </c>
      <c r="E1014" s="4">
        <v>9853.1</v>
      </c>
      <c r="F1014" s="4">
        <v>37416.400000000001</v>
      </c>
      <c r="H1014" s="68">
        <f t="shared" si="15"/>
        <v>0.26333639794314795</v>
      </c>
    </row>
    <row r="1015" spans="1:8" x14ac:dyDescent="0.2">
      <c r="A1015" s="6">
        <v>1014</v>
      </c>
      <c r="B1015" s="1" t="s">
        <v>14</v>
      </c>
      <c r="C1015" s="1" t="s">
        <v>71</v>
      </c>
      <c r="D1015" s="4">
        <v>0</v>
      </c>
      <c r="E1015" s="4">
        <v>0</v>
      </c>
      <c r="F1015" s="4">
        <v>0</v>
      </c>
      <c r="H1015" s="68">
        <f t="shared" si="15"/>
        <v>0</v>
      </c>
    </row>
    <row r="1016" spans="1:8" x14ac:dyDescent="0.2">
      <c r="A1016" s="6">
        <v>1015</v>
      </c>
      <c r="B1016" s="1" t="s">
        <v>14</v>
      </c>
      <c r="C1016" s="1" t="s">
        <v>72</v>
      </c>
      <c r="D1016" s="4">
        <v>17567.099999999999</v>
      </c>
      <c r="E1016" s="4">
        <v>7482.3</v>
      </c>
      <c r="F1016" s="4">
        <v>25049.399999999998</v>
      </c>
      <c r="H1016" s="68">
        <f t="shared" si="15"/>
        <v>0.29870176531174403</v>
      </c>
    </row>
    <row r="1017" spans="1:8" x14ac:dyDescent="0.2">
      <c r="A1017" s="6">
        <v>1016</v>
      </c>
      <c r="B1017" s="1" t="s">
        <v>14</v>
      </c>
      <c r="C1017" s="1" t="s">
        <v>73</v>
      </c>
      <c r="D1017" s="4">
        <v>17626.400000000001</v>
      </c>
      <c r="E1017" s="4">
        <v>78896.3</v>
      </c>
      <c r="F1017" s="4">
        <v>96522.700000000012</v>
      </c>
      <c r="H1017" s="68">
        <f t="shared" si="15"/>
        <v>0.81738596205866587</v>
      </c>
    </row>
    <row r="1018" spans="1:8" x14ac:dyDescent="0.2">
      <c r="A1018" s="6">
        <v>1017</v>
      </c>
      <c r="B1018" s="1" t="s">
        <v>14</v>
      </c>
      <c r="C1018" s="1" t="s">
        <v>74</v>
      </c>
      <c r="D1018" s="4">
        <v>9124.1</v>
      </c>
      <c r="E1018" s="4">
        <v>1416.5</v>
      </c>
      <c r="F1018" s="4">
        <v>10540.6</v>
      </c>
      <c r="H1018" s="68">
        <f t="shared" si="15"/>
        <v>0.13438513936588051</v>
      </c>
    </row>
    <row r="1019" spans="1:8" x14ac:dyDescent="0.2">
      <c r="A1019" s="6">
        <v>1018</v>
      </c>
      <c r="B1019" s="1" t="s">
        <v>14</v>
      </c>
      <c r="C1019" s="1" t="s">
        <v>75</v>
      </c>
      <c r="D1019" s="4">
        <v>3274.7</v>
      </c>
      <c r="E1019" s="4">
        <v>69.8</v>
      </c>
      <c r="F1019" s="4">
        <v>3344.5</v>
      </c>
      <c r="H1019" s="68">
        <f t="shared" si="15"/>
        <v>2.087008521453132E-2</v>
      </c>
    </row>
    <row r="1020" spans="1:8" x14ac:dyDescent="0.2">
      <c r="A1020" s="6">
        <v>1019</v>
      </c>
      <c r="B1020" s="1" t="s">
        <v>14</v>
      </c>
      <c r="C1020" s="1" t="s">
        <v>76</v>
      </c>
      <c r="D1020" s="4">
        <v>2067.6999999999998</v>
      </c>
      <c r="E1020" s="4">
        <v>871.8</v>
      </c>
      <c r="F1020" s="4">
        <v>2939.5</v>
      </c>
      <c r="H1020" s="68">
        <f t="shared" si="15"/>
        <v>0.29658105119918354</v>
      </c>
    </row>
    <row r="1021" spans="1:8" x14ac:dyDescent="0.2">
      <c r="A1021" s="6">
        <v>1020</v>
      </c>
      <c r="B1021" s="1" t="s">
        <v>14</v>
      </c>
      <c r="C1021" s="1" t="s">
        <v>77</v>
      </c>
      <c r="D1021" s="4">
        <v>7475.9</v>
      </c>
      <c r="E1021" s="4">
        <v>8568.7999999999993</v>
      </c>
      <c r="F1021" s="4">
        <v>16044.699999999999</v>
      </c>
      <c r="H1021" s="68">
        <f t="shared" si="15"/>
        <v>0.53405797553086065</v>
      </c>
    </row>
    <row r="1022" spans="1:8" x14ac:dyDescent="0.2">
      <c r="A1022" s="6">
        <v>1021</v>
      </c>
      <c r="B1022" s="1" t="s">
        <v>14</v>
      </c>
      <c r="C1022" s="1" t="s">
        <v>78</v>
      </c>
      <c r="D1022" s="4">
        <v>1291.8</v>
      </c>
      <c r="E1022" s="4">
        <v>295</v>
      </c>
      <c r="F1022" s="4">
        <v>1586.8</v>
      </c>
      <c r="H1022" s="68">
        <f t="shared" si="15"/>
        <v>0.18590874716410385</v>
      </c>
    </row>
    <row r="1023" spans="1:8" x14ac:dyDescent="0.2">
      <c r="A1023" s="7">
        <v>1022</v>
      </c>
      <c r="B1023" s="8" t="s">
        <v>14</v>
      </c>
      <c r="C1023" s="8" t="s">
        <v>79</v>
      </c>
      <c r="D1023" s="9">
        <v>137991.59999999998</v>
      </c>
      <c r="E1023" s="9">
        <v>153468.39999999997</v>
      </c>
      <c r="F1023" s="9">
        <v>291459.99999999994</v>
      </c>
      <c r="H1023" s="68">
        <f t="shared" si="15"/>
        <v>0.52655047004734779</v>
      </c>
    </row>
    <row r="1024" spans="1:8" x14ac:dyDescent="0.2">
      <c r="A1024" s="6">
        <v>1023</v>
      </c>
      <c r="B1024" s="1" t="s">
        <v>14</v>
      </c>
      <c r="C1024" s="1" t="s">
        <v>33</v>
      </c>
      <c r="D1024" s="4">
        <v>0.12382124866076472</v>
      </c>
      <c r="E1024" s="4">
        <v>0.11488866979437805</v>
      </c>
      <c r="F1024" s="4">
        <v>0.11895146726263477</v>
      </c>
      <c r="H1024" s="68">
        <f t="shared" si="15"/>
        <v>0.96584491505862302</v>
      </c>
    </row>
    <row r="1025" spans="1:8" x14ac:dyDescent="0.2">
      <c r="A1025" s="6">
        <v>1024</v>
      </c>
      <c r="B1025" s="1" t="s">
        <v>14</v>
      </c>
      <c r="C1025" s="1" t="s">
        <v>80</v>
      </c>
      <c r="D1025" s="4">
        <v>0</v>
      </c>
      <c r="E1025" s="4">
        <v>34565.300000000003</v>
      </c>
      <c r="F1025" s="4">
        <v>34565.300000000003</v>
      </c>
      <c r="H1025" s="68">
        <f t="shared" si="15"/>
        <v>1</v>
      </c>
    </row>
    <row r="1026" spans="1:8" x14ac:dyDescent="0.2">
      <c r="A1026" s="6">
        <v>1025</v>
      </c>
      <c r="B1026" s="1" t="s">
        <v>14</v>
      </c>
      <c r="C1026" s="1" t="s">
        <v>81</v>
      </c>
      <c r="D1026" s="4">
        <v>0</v>
      </c>
      <c r="E1026" s="4">
        <v>13858.6</v>
      </c>
      <c r="F1026" s="4">
        <v>13858.6</v>
      </c>
      <c r="H1026" s="68">
        <f t="shared" si="15"/>
        <v>1</v>
      </c>
    </row>
    <row r="1027" spans="1:8" x14ac:dyDescent="0.2">
      <c r="A1027" s="6">
        <v>1026</v>
      </c>
      <c r="B1027" s="1" t="s">
        <v>14</v>
      </c>
      <c r="C1027" s="1" t="s">
        <v>82</v>
      </c>
      <c r="D1027" s="4">
        <v>0</v>
      </c>
      <c r="E1027" s="4">
        <v>8057.6</v>
      </c>
      <c r="F1027" s="4">
        <v>8057.6</v>
      </c>
      <c r="H1027" s="68">
        <f t="shared" ref="H1027:H1090" si="16">IFERROR(E1027/F1027,0)</f>
        <v>1</v>
      </c>
    </row>
    <row r="1028" spans="1:8" x14ac:dyDescent="0.2">
      <c r="A1028" s="6">
        <v>1027</v>
      </c>
      <c r="B1028" s="1" t="s">
        <v>14</v>
      </c>
      <c r="C1028" s="1" t="s">
        <v>83</v>
      </c>
      <c r="D1028" s="4">
        <v>0</v>
      </c>
      <c r="E1028" s="4">
        <v>27379.599999999999</v>
      </c>
      <c r="F1028" s="4">
        <v>27379.599999999999</v>
      </c>
      <c r="H1028" s="68">
        <f t="shared" si="16"/>
        <v>1</v>
      </c>
    </row>
    <row r="1029" spans="1:8" x14ac:dyDescent="0.2">
      <c r="A1029" s="6">
        <v>1028</v>
      </c>
      <c r="B1029" s="1" t="s">
        <v>14</v>
      </c>
      <c r="C1029" s="1" t="s">
        <v>84</v>
      </c>
      <c r="D1029" s="4">
        <v>0</v>
      </c>
      <c r="E1029" s="4">
        <v>64391.8</v>
      </c>
      <c r="F1029" s="4">
        <v>64391.8</v>
      </c>
      <c r="H1029" s="68">
        <f t="shared" si="16"/>
        <v>1</v>
      </c>
    </row>
    <row r="1030" spans="1:8" x14ac:dyDescent="0.2">
      <c r="A1030" s="6">
        <v>1029</v>
      </c>
      <c r="B1030" s="1" t="s">
        <v>14</v>
      </c>
      <c r="C1030" s="1" t="s">
        <v>85</v>
      </c>
      <c r="D1030" s="4">
        <v>486.8</v>
      </c>
      <c r="E1030" s="4">
        <v>128.1</v>
      </c>
      <c r="F1030" s="4">
        <v>614.9</v>
      </c>
      <c r="H1030" s="68">
        <f t="shared" si="16"/>
        <v>0.20832655716376647</v>
      </c>
    </row>
    <row r="1031" spans="1:8" x14ac:dyDescent="0.2">
      <c r="A1031" s="7">
        <v>1030</v>
      </c>
      <c r="B1031" s="8" t="s">
        <v>14</v>
      </c>
      <c r="C1031" s="8" t="s">
        <v>86</v>
      </c>
      <c r="D1031" s="9">
        <v>486.8</v>
      </c>
      <c r="E1031" s="9">
        <v>148381.00000000003</v>
      </c>
      <c r="F1031" s="9">
        <v>148867.80000000002</v>
      </c>
      <c r="H1031" s="68">
        <f t="shared" si="16"/>
        <v>0.99672998459035478</v>
      </c>
    </row>
    <row r="1032" spans="1:8" x14ac:dyDescent="0.2">
      <c r="A1032" s="6">
        <v>1031</v>
      </c>
      <c r="B1032" s="1" t="s">
        <v>14</v>
      </c>
      <c r="C1032" s="1" t="s">
        <v>33</v>
      </c>
      <c r="D1032" s="4">
        <v>4.3681052939497966E-4</v>
      </c>
      <c r="E1032" s="4">
        <v>0.11108016837837377</v>
      </c>
      <c r="F1032" s="4">
        <v>6.0756341309821126E-2</v>
      </c>
      <c r="H1032" s="68">
        <f t="shared" si="16"/>
        <v>1.8282892943130187</v>
      </c>
    </row>
    <row r="1033" spans="1:8" x14ac:dyDescent="0.2">
      <c r="A1033" s="6">
        <v>1032</v>
      </c>
      <c r="B1033" s="1" t="s">
        <v>14</v>
      </c>
      <c r="C1033" s="1" t="s">
        <v>87</v>
      </c>
      <c r="D1033" s="4">
        <v>0</v>
      </c>
      <c r="E1033" s="4">
        <v>0</v>
      </c>
      <c r="F1033" s="4">
        <v>0</v>
      </c>
      <c r="H1033" s="68">
        <f t="shared" si="16"/>
        <v>0</v>
      </c>
    </row>
    <row r="1034" spans="1:8" x14ac:dyDescent="0.2">
      <c r="A1034" s="6">
        <v>1033</v>
      </c>
      <c r="B1034" s="1" t="s">
        <v>14</v>
      </c>
      <c r="C1034" s="1" t="s">
        <v>88</v>
      </c>
      <c r="D1034" s="4">
        <v>237.29999999999998</v>
      </c>
      <c r="E1034" s="4">
        <v>0</v>
      </c>
      <c r="F1034" s="4">
        <v>237.29999999999998</v>
      </c>
      <c r="H1034" s="68">
        <f t="shared" si="16"/>
        <v>0</v>
      </c>
    </row>
    <row r="1035" spans="1:8" x14ac:dyDescent="0.2">
      <c r="A1035" s="7">
        <v>1034</v>
      </c>
      <c r="B1035" s="8" t="s">
        <v>14</v>
      </c>
      <c r="C1035" s="8" t="s">
        <v>89</v>
      </c>
      <c r="D1035" s="9">
        <v>237.29999999999998</v>
      </c>
      <c r="E1035" s="9">
        <v>0</v>
      </c>
      <c r="F1035" s="9">
        <v>237.29999999999998</v>
      </c>
      <c r="H1035" s="68">
        <f t="shared" si="16"/>
        <v>0</v>
      </c>
    </row>
    <row r="1036" spans="1:8" x14ac:dyDescent="0.2">
      <c r="A1036" s="6">
        <v>1035</v>
      </c>
      <c r="B1036" s="1" t="s">
        <v>14</v>
      </c>
      <c r="C1036" s="1" t="s">
        <v>33</v>
      </c>
      <c r="D1036" s="4">
        <v>2.129316734293933E-4</v>
      </c>
      <c r="E1036" s="4">
        <v>0</v>
      </c>
      <c r="F1036" s="4">
        <v>9.6847537162640611E-5</v>
      </c>
      <c r="H1036" s="68">
        <f t="shared" si="16"/>
        <v>0</v>
      </c>
    </row>
    <row r="1037" spans="1:8" x14ac:dyDescent="0.2">
      <c r="A1037" s="6">
        <v>1036</v>
      </c>
      <c r="B1037" s="1" t="s">
        <v>14</v>
      </c>
      <c r="C1037" s="1" t="s">
        <v>90</v>
      </c>
      <c r="D1037" s="4">
        <v>0</v>
      </c>
      <c r="E1037" s="4">
        <v>0</v>
      </c>
      <c r="F1037" s="4">
        <v>0</v>
      </c>
      <c r="H1037" s="68">
        <f t="shared" si="16"/>
        <v>0</v>
      </c>
    </row>
    <row r="1038" spans="1:8" x14ac:dyDescent="0.2">
      <c r="A1038" s="6">
        <v>1037</v>
      </c>
      <c r="B1038" s="1" t="s">
        <v>14</v>
      </c>
      <c r="C1038" s="1" t="s">
        <v>33</v>
      </c>
      <c r="D1038" s="4">
        <v>0</v>
      </c>
      <c r="E1038" s="4">
        <v>0</v>
      </c>
      <c r="F1038" s="4">
        <v>0</v>
      </c>
      <c r="H1038" s="68">
        <f t="shared" si="16"/>
        <v>0</v>
      </c>
    </row>
    <row r="1039" spans="1:8" x14ac:dyDescent="0.2">
      <c r="A1039" s="6">
        <v>1038</v>
      </c>
      <c r="B1039" s="1" t="s">
        <v>14</v>
      </c>
      <c r="C1039" s="1" t="s">
        <v>91</v>
      </c>
      <c r="D1039" s="4">
        <v>11617.3</v>
      </c>
      <c r="E1039" s="4">
        <v>5981.4</v>
      </c>
      <c r="F1039" s="4">
        <v>17598.699999999997</v>
      </c>
      <c r="H1039" s="68">
        <f t="shared" si="16"/>
        <v>0.33987737730627832</v>
      </c>
    </row>
    <row r="1040" spans="1:8" x14ac:dyDescent="0.2">
      <c r="A1040" s="6">
        <v>1039</v>
      </c>
      <c r="B1040" s="1" t="s">
        <v>14</v>
      </c>
      <c r="C1040" s="1" t="s">
        <v>33</v>
      </c>
      <c r="D1040" s="4">
        <v>1.0424319973583189E-2</v>
      </c>
      <c r="E1040" s="4">
        <v>4.4777627805339271E-3</v>
      </c>
      <c r="F1040" s="4">
        <v>7.1824304773036802E-3</v>
      </c>
      <c r="H1040" s="68">
        <f t="shared" si="16"/>
        <v>0.62343280518809863</v>
      </c>
    </row>
    <row r="1041" spans="1:8" x14ac:dyDescent="0.2">
      <c r="A1041" s="10">
        <v>1040</v>
      </c>
      <c r="B1041" s="11" t="s">
        <v>14</v>
      </c>
      <c r="C1041" s="11" t="s">
        <v>2</v>
      </c>
      <c r="D1041" s="12">
        <v>1114442.0000000002</v>
      </c>
      <c r="E1041" s="12">
        <v>1335800.9999999998</v>
      </c>
      <c r="F1041" s="12">
        <v>2450242.9999999995</v>
      </c>
      <c r="H1041" s="68">
        <f t="shared" si="16"/>
        <v>0.54517082591400123</v>
      </c>
    </row>
    <row r="1042" spans="1:8" x14ac:dyDescent="0.2">
      <c r="A1042" s="6">
        <v>1041</v>
      </c>
      <c r="B1042" s="1" t="s">
        <v>94</v>
      </c>
      <c r="C1042" s="1" t="s">
        <v>23</v>
      </c>
      <c r="D1042" s="4">
        <v>0</v>
      </c>
      <c r="E1042" s="4">
        <v>25.9</v>
      </c>
      <c r="F1042" s="4">
        <v>25.9</v>
      </c>
      <c r="H1042" s="68">
        <f t="shared" si="16"/>
        <v>1</v>
      </c>
    </row>
    <row r="1043" spans="1:8" x14ac:dyDescent="0.2">
      <c r="A1043" s="6">
        <v>1042</v>
      </c>
      <c r="B1043" s="1" t="s">
        <v>94</v>
      </c>
      <c r="C1043" s="1" t="s">
        <v>24</v>
      </c>
      <c r="D1043" s="4">
        <v>0</v>
      </c>
      <c r="E1043" s="4">
        <v>0</v>
      </c>
      <c r="F1043" s="4">
        <v>0</v>
      </c>
      <c r="H1043" s="68">
        <f t="shared" si="16"/>
        <v>0</v>
      </c>
    </row>
    <row r="1044" spans="1:8" x14ac:dyDescent="0.2">
      <c r="A1044" s="6">
        <v>1043</v>
      </c>
      <c r="B1044" s="1" t="s">
        <v>94</v>
      </c>
      <c r="C1044" s="1" t="s">
        <v>25</v>
      </c>
      <c r="D1044" s="4">
        <v>0</v>
      </c>
      <c r="E1044" s="4">
        <v>0</v>
      </c>
      <c r="F1044" s="4">
        <v>0</v>
      </c>
      <c r="H1044" s="68">
        <f t="shared" si="16"/>
        <v>0</v>
      </c>
    </row>
    <row r="1045" spans="1:8" x14ac:dyDescent="0.2">
      <c r="A1045" s="6">
        <v>1044</v>
      </c>
      <c r="B1045" s="1" t="s">
        <v>94</v>
      </c>
      <c r="C1045" s="1" t="s">
        <v>26</v>
      </c>
      <c r="D1045" s="4">
        <v>0</v>
      </c>
      <c r="E1045" s="4">
        <v>0</v>
      </c>
      <c r="F1045" s="4">
        <v>0</v>
      </c>
      <c r="H1045" s="68">
        <f t="shared" si="16"/>
        <v>0</v>
      </c>
    </row>
    <row r="1046" spans="1:8" x14ac:dyDescent="0.2">
      <c r="A1046" s="6">
        <v>1045</v>
      </c>
      <c r="B1046" s="1" t="s">
        <v>94</v>
      </c>
      <c r="C1046" s="1" t="s">
        <v>27</v>
      </c>
      <c r="D1046" s="4">
        <v>0</v>
      </c>
      <c r="E1046" s="4">
        <v>0</v>
      </c>
      <c r="F1046" s="4">
        <v>0</v>
      </c>
      <c r="H1046" s="68">
        <f t="shared" si="16"/>
        <v>0</v>
      </c>
    </row>
    <row r="1047" spans="1:8" x14ac:dyDescent="0.2">
      <c r="A1047" s="6">
        <v>1046</v>
      </c>
      <c r="B1047" s="1" t="s">
        <v>94</v>
      </c>
      <c r="C1047" s="1" t="s">
        <v>28</v>
      </c>
      <c r="D1047" s="4">
        <v>0</v>
      </c>
      <c r="E1047" s="4">
        <v>0</v>
      </c>
      <c r="F1047" s="4">
        <v>0</v>
      </c>
      <c r="H1047" s="68">
        <f t="shared" si="16"/>
        <v>0</v>
      </c>
    </row>
    <row r="1048" spans="1:8" x14ac:dyDescent="0.2">
      <c r="A1048" s="6">
        <v>1047</v>
      </c>
      <c r="B1048" s="1" t="s">
        <v>94</v>
      </c>
      <c r="C1048" s="1" t="s">
        <v>29</v>
      </c>
      <c r="D1048" s="4">
        <v>0</v>
      </c>
      <c r="E1048" s="4">
        <v>0</v>
      </c>
      <c r="F1048" s="4">
        <v>0</v>
      </c>
      <c r="H1048" s="68">
        <f t="shared" si="16"/>
        <v>0</v>
      </c>
    </row>
    <row r="1049" spans="1:8" x14ac:dyDescent="0.2">
      <c r="A1049" s="6">
        <v>1048</v>
      </c>
      <c r="B1049" s="1" t="s">
        <v>94</v>
      </c>
      <c r="C1049" s="1" t="s">
        <v>30</v>
      </c>
      <c r="D1049" s="4">
        <v>0</v>
      </c>
      <c r="E1049" s="4">
        <v>0</v>
      </c>
      <c r="F1049" s="4">
        <v>0</v>
      </c>
      <c r="H1049" s="68">
        <f t="shared" si="16"/>
        <v>0</v>
      </c>
    </row>
    <row r="1050" spans="1:8" x14ac:dyDescent="0.2">
      <c r="A1050" s="6">
        <v>1049</v>
      </c>
      <c r="B1050" s="1" t="s">
        <v>94</v>
      </c>
      <c r="C1050" s="1" t="s">
        <v>31</v>
      </c>
      <c r="D1050" s="4">
        <v>0</v>
      </c>
      <c r="E1050" s="4">
        <v>0</v>
      </c>
      <c r="F1050" s="4">
        <v>0</v>
      </c>
      <c r="H1050" s="68">
        <f t="shared" si="16"/>
        <v>0</v>
      </c>
    </row>
    <row r="1051" spans="1:8" x14ac:dyDescent="0.2">
      <c r="A1051" s="7">
        <v>1050</v>
      </c>
      <c r="B1051" s="8" t="s">
        <v>94</v>
      </c>
      <c r="C1051" s="8" t="s">
        <v>32</v>
      </c>
      <c r="D1051" s="9">
        <v>0</v>
      </c>
      <c r="E1051" s="9">
        <v>25.9</v>
      </c>
      <c r="F1051" s="9">
        <v>25.9</v>
      </c>
      <c r="H1051" s="68">
        <f t="shared" si="16"/>
        <v>1</v>
      </c>
    </row>
    <row r="1052" spans="1:8" x14ac:dyDescent="0.2">
      <c r="A1052" s="6">
        <v>1051</v>
      </c>
      <c r="B1052" s="1" t="s">
        <v>94</v>
      </c>
      <c r="C1052" s="1" t="s">
        <v>33</v>
      </c>
      <c r="D1052" s="4">
        <v>0</v>
      </c>
      <c r="E1052" s="4">
        <v>1.3652575170868038E-4</v>
      </c>
      <c r="F1052" s="4">
        <v>8.5501828055493647E-5</v>
      </c>
      <c r="H1052" s="68">
        <f t="shared" si="16"/>
        <v>1.5967582777302778</v>
      </c>
    </row>
    <row r="1053" spans="1:8" x14ac:dyDescent="0.2">
      <c r="A1053" s="6">
        <v>1052</v>
      </c>
      <c r="B1053" s="1" t="s">
        <v>94</v>
      </c>
      <c r="C1053" s="1" t="s">
        <v>34</v>
      </c>
      <c r="D1053" s="4">
        <v>2870.4</v>
      </c>
      <c r="E1053" s="4">
        <v>6201.2</v>
      </c>
      <c r="F1053" s="4">
        <v>9071.6</v>
      </c>
      <c r="H1053" s="68">
        <f t="shared" si="16"/>
        <v>0.68358393227214598</v>
      </c>
    </row>
    <row r="1054" spans="1:8" x14ac:dyDescent="0.2">
      <c r="A1054" s="6">
        <v>1053</v>
      </c>
      <c r="B1054" s="1" t="s">
        <v>94</v>
      </c>
      <c r="C1054" s="1" t="s">
        <v>35</v>
      </c>
      <c r="D1054" s="4">
        <v>0</v>
      </c>
      <c r="E1054" s="4">
        <v>290.8</v>
      </c>
      <c r="F1054" s="4">
        <v>290.8</v>
      </c>
      <c r="H1054" s="68">
        <f t="shared" si="16"/>
        <v>1</v>
      </c>
    </row>
    <row r="1055" spans="1:8" x14ac:dyDescent="0.2">
      <c r="A1055" s="6">
        <v>1054</v>
      </c>
      <c r="B1055" s="1" t="s">
        <v>94</v>
      </c>
      <c r="C1055" s="1" t="s">
        <v>36</v>
      </c>
      <c r="D1055" s="4">
        <v>0</v>
      </c>
      <c r="E1055" s="4">
        <v>0</v>
      </c>
      <c r="F1055" s="4">
        <v>0</v>
      </c>
      <c r="H1055" s="68">
        <f t="shared" si="16"/>
        <v>0</v>
      </c>
    </row>
    <row r="1056" spans="1:8" x14ac:dyDescent="0.2">
      <c r="A1056" s="6">
        <v>1055</v>
      </c>
      <c r="B1056" s="1" t="s">
        <v>94</v>
      </c>
      <c r="C1056" s="1" t="s">
        <v>37</v>
      </c>
      <c r="D1056" s="4">
        <v>785.1</v>
      </c>
      <c r="E1056" s="4">
        <v>50.3</v>
      </c>
      <c r="F1056" s="4">
        <v>835.4</v>
      </c>
      <c r="H1056" s="68">
        <f t="shared" si="16"/>
        <v>6.0210677519751017E-2</v>
      </c>
    </row>
    <row r="1057" spans="1:8" x14ac:dyDescent="0.2">
      <c r="A1057" s="7">
        <v>1056</v>
      </c>
      <c r="B1057" s="8" t="s">
        <v>94</v>
      </c>
      <c r="C1057" s="8" t="s">
        <v>38</v>
      </c>
      <c r="D1057" s="9">
        <v>3655.5</v>
      </c>
      <c r="E1057" s="9">
        <v>6542.3</v>
      </c>
      <c r="F1057" s="9">
        <v>10197.799999999999</v>
      </c>
      <c r="H1057" s="68">
        <f t="shared" si="16"/>
        <v>0.64154033222851992</v>
      </c>
    </row>
    <row r="1058" spans="1:8" x14ac:dyDescent="0.2">
      <c r="A1058" s="6">
        <v>1057</v>
      </c>
      <c r="B1058" s="1" t="s">
        <v>94</v>
      </c>
      <c r="C1058" s="1" t="s">
        <v>33</v>
      </c>
      <c r="D1058" s="4">
        <v>3.2289635958756183E-2</v>
      </c>
      <c r="E1058" s="4">
        <v>3.4486194031030877E-2</v>
      </c>
      <c r="F1058" s="4">
        <v>3.3665271897463829E-2</v>
      </c>
      <c r="H1058" s="68">
        <f t="shared" si="16"/>
        <v>1.0243848359837215</v>
      </c>
    </row>
    <row r="1059" spans="1:8" x14ac:dyDescent="0.2">
      <c r="A1059" s="6">
        <v>1058</v>
      </c>
      <c r="B1059" s="1" t="s">
        <v>94</v>
      </c>
      <c r="C1059" s="1" t="s">
        <v>39</v>
      </c>
      <c r="D1059" s="4">
        <v>2.8</v>
      </c>
      <c r="E1059" s="4">
        <v>135332.4</v>
      </c>
      <c r="F1059" s="4">
        <v>135335.19999999998</v>
      </c>
      <c r="H1059" s="68">
        <f t="shared" si="16"/>
        <v>0.99997931063019829</v>
      </c>
    </row>
    <row r="1060" spans="1:8" x14ac:dyDescent="0.2">
      <c r="A1060" s="6">
        <v>1059</v>
      </c>
      <c r="B1060" s="1" t="s">
        <v>94</v>
      </c>
      <c r="C1060" s="1" t="s">
        <v>40</v>
      </c>
      <c r="D1060" s="4">
        <v>0</v>
      </c>
      <c r="E1060" s="4">
        <v>0</v>
      </c>
      <c r="F1060" s="4">
        <v>0</v>
      </c>
      <c r="H1060" s="68">
        <f t="shared" si="16"/>
        <v>0</v>
      </c>
    </row>
    <row r="1061" spans="1:8" x14ac:dyDescent="0.2">
      <c r="A1061" s="6">
        <v>1060</v>
      </c>
      <c r="B1061" s="1" t="s">
        <v>94</v>
      </c>
      <c r="C1061" s="1" t="s">
        <v>41</v>
      </c>
      <c r="D1061" s="4">
        <v>0</v>
      </c>
      <c r="E1061" s="4">
        <v>0</v>
      </c>
      <c r="F1061" s="4">
        <v>0</v>
      </c>
      <c r="H1061" s="68">
        <f t="shared" si="16"/>
        <v>0</v>
      </c>
    </row>
    <row r="1062" spans="1:8" x14ac:dyDescent="0.2">
      <c r="A1062" s="6">
        <v>1061</v>
      </c>
      <c r="B1062" s="1" t="s">
        <v>94</v>
      </c>
      <c r="C1062" s="1" t="s">
        <v>42</v>
      </c>
      <c r="D1062" s="4">
        <v>6518.1</v>
      </c>
      <c r="E1062" s="4">
        <v>7320.3</v>
      </c>
      <c r="F1062" s="4">
        <v>13838.400000000001</v>
      </c>
      <c r="H1062" s="68">
        <f t="shared" si="16"/>
        <v>0.52898456468955946</v>
      </c>
    </row>
    <row r="1063" spans="1:8" x14ac:dyDescent="0.2">
      <c r="A1063" s="6">
        <v>1062</v>
      </c>
      <c r="B1063" s="1" t="s">
        <v>94</v>
      </c>
      <c r="C1063" s="1" t="s">
        <v>43</v>
      </c>
      <c r="D1063" s="4">
        <v>0</v>
      </c>
      <c r="E1063" s="4">
        <v>0</v>
      </c>
      <c r="F1063" s="4">
        <v>0</v>
      </c>
      <c r="H1063" s="68">
        <f t="shared" si="16"/>
        <v>0</v>
      </c>
    </row>
    <row r="1064" spans="1:8" x14ac:dyDescent="0.2">
      <c r="A1064" s="6">
        <v>1063</v>
      </c>
      <c r="B1064" s="1" t="s">
        <v>94</v>
      </c>
      <c r="C1064" s="1" t="s">
        <v>44</v>
      </c>
      <c r="D1064" s="4">
        <v>1506</v>
      </c>
      <c r="E1064" s="4">
        <v>3871.1</v>
      </c>
      <c r="F1064" s="4">
        <v>5377.1</v>
      </c>
      <c r="H1064" s="68">
        <f t="shared" si="16"/>
        <v>0.71992337877294443</v>
      </c>
    </row>
    <row r="1065" spans="1:8" x14ac:dyDescent="0.2">
      <c r="A1065" s="7">
        <v>1064</v>
      </c>
      <c r="B1065" s="8" t="s">
        <v>94</v>
      </c>
      <c r="C1065" s="8" t="s">
        <v>45</v>
      </c>
      <c r="D1065" s="9">
        <v>8026.9000000000005</v>
      </c>
      <c r="E1065" s="9">
        <v>146523.79999999999</v>
      </c>
      <c r="F1065" s="9">
        <v>154550.69999999998</v>
      </c>
      <c r="H1065" s="68">
        <f t="shared" si="16"/>
        <v>0.94806299809706462</v>
      </c>
    </row>
    <row r="1066" spans="1:8" x14ac:dyDescent="0.2">
      <c r="A1066" s="6">
        <v>1065</v>
      </c>
      <c r="B1066" s="1" t="s">
        <v>94</v>
      </c>
      <c r="C1066" s="1" t="s">
        <v>33</v>
      </c>
      <c r="D1066" s="4">
        <v>7.0902934995852832E-2</v>
      </c>
      <c r="E1066" s="4">
        <v>0.7723657119000904</v>
      </c>
      <c r="F1066" s="4">
        <v>0.51020723464309581</v>
      </c>
      <c r="H1066" s="68">
        <f t="shared" si="16"/>
        <v>1.5138274400212726</v>
      </c>
    </row>
    <row r="1067" spans="1:8" x14ac:dyDescent="0.2">
      <c r="A1067" s="6">
        <v>1066</v>
      </c>
      <c r="B1067" s="1" t="s">
        <v>94</v>
      </c>
      <c r="C1067" s="1" t="s">
        <v>46</v>
      </c>
      <c r="D1067" s="4">
        <v>0</v>
      </c>
      <c r="E1067" s="4">
        <v>0</v>
      </c>
      <c r="F1067" s="4">
        <v>0</v>
      </c>
      <c r="H1067" s="68">
        <f t="shared" si="16"/>
        <v>0</v>
      </c>
    </row>
    <row r="1068" spans="1:8" x14ac:dyDescent="0.2">
      <c r="A1068" s="6">
        <v>1067</v>
      </c>
      <c r="B1068" s="1" t="s">
        <v>94</v>
      </c>
      <c r="C1068" s="1" t="s">
        <v>47</v>
      </c>
      <c r="D1068" s="4">
        <v>829.3</v>
      </c>
      <c r="E1068" s="4">
        <v>1574.7</v>
      </c>
      <c r="F1068" s="4">
        <v>2404</v>
      </c>
      <c r="H1068" s="68">
        <f t="shared" si="16"/>
        <v>0.65503327787021637</v>
      </c>
    </row>
    <row r="1069" spans="1:8" x14ac:dyDescent="0.2">
      <c r="A1069" s="6">
        <v>1068</v>
      </c>
      <c r="B1069" s="1" t="s">
        <v>94</v>
      </c>
      <c r="C1069" s="1" t="s">
        <v>48</v>
      </c>
      <c r="D1069" s="4">
        <v>0</v>
      </c>
      <c r="E1069" s="4">
        <v>0</v>
      </c>
      <c r="F1069" s="4">
        <v>0</v>
      </c>
      <c r="H1069" s="68">
        <f t="shared" si="16"/>
        <v>0</v>
      </c>
    </row>
    <row r="1070" spans="1:8" x14ac:dyDescent="0.2">
      <c r="A1070" s="6">
        <v>1069</v>
      </c>
      <c r="B1070" s="1" t="s">
        <v>94</v>
      </c>
      <c r="C1070" s="1" t="s">
        <v>49</v>
      </c>
      <c r="D1070" s="4">
        <v>0</v>
      </c>
      <c r="E1070" s="4">
        <v>0</v>
      </c>
      <c r="F1070" s="4">
        <v>0</v>
      </c>
      <c r="H1070" s="68">
        <f t="shared" si="16"/>
        <v>0</v>
      </c>
    </row>
    <row r="1071" spans="1:8" x14ac:dyDescent="0.2">
      <c r="A1071" s="6">
        <v>1070</v>
      </c>
      <c r="B1071" s="1" t="s">
        <v>94</v>
      </c>
      <c r="C1071" s="1" t="s">
        <v>50</v>
      </c>
      <c r="D1071" s="4">
        <v>3127.5</v>
      </c>
      <c r="E1071" s="4">
        <v>5512.8</v>
      </c>
      <c r="F1071" s="4">
        <v>8640.2999999999993</v>
      </c>
      <c r="H1071" s="68">
        <f t="shared" si="16"/>
        <v>0.63803340161799948</v>
      </c>
    </row>
    <row r="1072" spans="1:8" x14ac:dyDescent="0.2">
      <c r="A1072" s="7">
        <v>1071</v>
      </c>
      <c r="B1072" s="8" t="s">
        <v>94</v>
      </c>
      <c r="C1072" s="8" t="s">
        <v>51</v>
      </c>
      <c r="D1072" s="9">
        <v>3956.8</v>
      </c>
      <c r="E1072" s="9">
        <v>7087.5</v>
      </c>
      <c r="F1072" s="9">
        <v>11044.3</v>
      </c>
      <c r="H1072" s="68">
        <f t="shared" si="16"/>
        <v>0.64173374500873759</v>
      </c>
    </row>
    <row r="1073" spans="1:8" x14ac:dyDescent="0.2">
      <c r="A1073" s="6">
        <v>1072</v>
      </c>
      <c r="B1073" s="1" t="s">
        <v>94</v>
      </c>
      <c r="C1073" s="1" t="s">
        <v>33</v>
      </c>
      <c r="D1073" s="4">
        <v>3.4951068680510587E-2</v>
      </c>
      <c r="E1073" s="4">
        <v>3.7360087460821326E-2</v>
      </c>
      <c r="F1073" s="4">
        <v>3.6459762146459018E-2</v>
      </c>
      <c r="H1073" s="68">
        <f t="shared" si="16"/>
        <v>1.0246936694415529</v>
      </c>
    </row>
    <row r="1074" spans="1:8" x14ac:dyDescent="0.2">
      <c r="A1074" s="6">
        <v>1073</v>
      </c>
      <c r="B1074" s="1" t="s">
        <v>94</v>
      </c>
      <c r="C1074" s="1" t="s">
        <v>52</v>
      </c>
      <c r="D1074" s="4">
        <v>0</v>
      </c>
      <c r="E1074" s="4">
        <v>708.6</v>
      </c>
      <c r="F1074" s="4">
        <v>708.6</v>
      </c>
      <c r="H1074" s="68">
        <f t="shared" si="16"/>
        <v>1</v>
      </c>
    </row>
    <row r="1075" spans="1:8" x14ac:dyDescent="0.2">
      <c r="A1075" s="6">
        <v>1074</v>
      </c>
      <c r="B1075" s="1" t="s">
        <v>94</v>
      </c>
      <c r="C1075" s="1" t="s">
        <v>53</v>
      </c>
      <c r="D1075" s="4">
        <v>0</v>
      </c>
      <c r="E1075" s="4">
        <v>0</v>
      </c>
      <c r="F1075" s="4">
        <v>0</v>
      </c>
      <c r="H1075" s="68">
        <f t="shared" si="16"/>
        <v>0</v>
      </c>
    </row>
    <row r="1076" spans="1:8" x14ac:dyDescent="0.2">
      <c r="A1076" s="6">
        <v>1075</v>
      </c>
      <c r="B1076" s="1" t="s">
        <v>94</v>
      </c>
      <c r="C1076" s="1" t="s">
        <v>54</v>
      </c>
      <c r="D1076" s="4">
        <v>0</v>
      </c>
      <c r="E1076" s="4">
        <v>0</v>
      </c>
      <c r="F1076" s="4">
        <v>0</v>
      </c>
      <c r="H1076" s="68">
        <f t="shared" si="16"/>
        <v>0</v>
      </c>
    </row>
    <row r="1077" spans="1:8" x14ac:dyDescent="0.2">
      <c r="A1077" s="6">
        <v>1076</v>
      </c>
      <c r="B1077" s="1" t="s">
        <v>94</v>
      </c>
      <c r="C1077" s="1" t="s">
        <v>55</v>
      </c>
      <c r="D1077" s="4">
        <v>0</v>
      </c>
      <c r="E1077" s="4">
        <v>0</v>
      </c>
      <c r="F1077" s="4">
        <v>0</v>
      </c>
      <c r="H1077" s="68">
        <f t="shared" si="16"/>
        <v>0</v>
      </c>
    </row>
    <row r="1078" spans="1:8" x14ac:dyDescent="0.2">
      <c r="A1078" s="6">
        <v>1077</v>
      </c>
      <c r="B1078" s="1" t="s">
        <v>94</v>
      </c>
      <c r="C1078" s="1" t="s">
        <v>56</v>
      </c>
      <c r="D1078" s="4">
        <v>3.8</v>
      </c>
      <c r="E1078" s="4">
        <v>132.5</v>
      </c>
      <c r="F1078" s="4">
        <v>136.30000000000001</v>
      </c>
      <c r="H1078" s="68">
        <f t="shared" si="16"/>
        <v>0.97212032281731464</v>
      </c>
    </row>
    <row r="1079" spans="1:8" x14ac:dyDescent="0.2">
      <c r="A1079" s="6">
        <v>1078</v>
      </c>
      <c r="B1079" s="1" t="s">
        <v>94</v>
      </c>
      <c r="C1079" s="1" t="s">
        <v>57</v>
      </c>
      <c r="D1079" s="4">
        <v>0</v>
      </c>
      <c r="E1079" s="4">
        <v>0</v>
      </c>
      <c r="F1079" s="4">
        <v>0</v>
      </c>
      <c r="H1079" s="68">
        <f t="shared" si="16"/>
        <v>0</v>
      </c>
    </row>
    <row r="1080" spans="1:8" x14ac:dyDescent="0.2">
      <c r="A1080" s="6">
        <v>1079</v>
      </c>
      <c r="B1080" s="1" t="s">
        <v>94</v>
      </c>
      <c r="C1080" s="1" t="s">
        <v>58</v>
      </c>
      <c r="D1080" s="4">
        <v>30.9</v>
      </c>
      <c r="E1080" s="4">
        <v>32.200000000000003</v>
      </c>
      <c r="F1080" s="4">
        <v>63.1</v>
      </c>
      <c r="H1080" s="68">
        <f t="shared" si="16"/>
        <v>0.51030110935023776</v>
      </c>
    </row>
    <row r="1081" spans="1:8" x14ac:dyDescent="0.2">
      <c r="A1081" s="7">
        <v>1080</v>
      </c>
      <c r="B1081" s="8" t="s">
        <v>94</v>
      </c>
      <c r="C1081" s="8" t="s">
        <v>59</v>
      </c>
      <c r="D1081" s="9">
        <v>34.699999999999996</v>
      </c>
      <c r="E1081" s="9">
        <v>873.30000000000007</v>
      </c>
      <c r="F1081" s="9">
        <v>908.00000000000011</v>
      </c>
      <c r="H1081" s="68">
        <f t="shared" si="16"/>
        <v>0.96178414096916298</v>
      </c>
    </row>
    <row r="1082" spans="1:8" x14ac:dyDescent="0.2">
      <c r="A1082" s="6">
        <v>1081</v>
      </c>
      <c r="B1082" s="1" t="s">
        <v>94</v>
      </c>
      <c r="C1082" s="1" t="s">
        <v>33</v>
      </c>
      <c r="D1082" s="4">
        <v>3.0651083785223347E-4</v>
      </c>
      <c r="E1082" s="4">
        <v>4.6033953269185553E-3</v>
      </c>
      <c r="F1082" s="4">
        <v>2.9975158252659555E-3</v>
      </c>
      <c r="H1082" s="68">
        <f t="shared" si="16"/>
        <v>1.5357367884822151</v>
      </c>
    </row>
    <row r="1083" spans="1:8" x14ac:dyDescent="0.2">
      <c r="A1083" s="6">
        <v>1082</v>
      </c>
      <c r="B1083" s="1" t="s">
        <v>94</v>
      </c>
      <c r="C1083" s="1" t="s">
        <v>60</v>
      </c>
      <c r="D1083" s="4">
        <v>10935.2</v>
      </c>
      <c r="E1083" s="4">
        <v>3221.7</v>
      </c>
      <c r="F1083" s="4">
        <v>14156.900000000001</v>
      </c>
      <c r="H1083" s="68">
        <f t="shared" si="16"/>
        <v>0.2275710077771263</v>
      </c>
    </row>
    <row r="1084" spans="1:8" x14ac:dyDescent="0.2">
      <c r="A1084" s="6">
        <v>1083</v>
      </c>
      <c r="B1084" s="1" t="s">
        <v>94</v>
      </c>
      <c r="C1084" s="1" t="s">
        <v>61</v>
      </c>
      <c r="D1084" s="4">
        <v>15578.6</v>
      </c>
      <c r="E1084" s="4">
        <v>12986.4</v>
      </c>
      <c r="F1084" s="4">
        <v>28565</v>
      </c>
      <c r="H1084" s="68">
        <f t="shared" si="16"/>
        <v>0.45462629091545598</v>
      </c>
    </row>
    <row r="1085" spans="1:8" x14ac:dyDescent="0.2">
      <c r="A1085" s="6">
        <v>1084</v>
      </c>
      <c r="B1085" s="1" t="s">
        <v>94</v>
      </c>
      <c r="C1085" s="1" t="s">
        <v>62</v>
      </c>
      <c r="D1085" s="4">
        <v>30708.2</v>
      </c>
      <c r="E1085" s="4">
        <v>7758.6</v>
      </c>
      <c r="F1085" s="4">
        <v>38466.800000000003</v>
      </c>
      <c r="H1085" s="68">
        <f t="shared" si="16"/>
        <v>0.20169600798610748</v>
      </c>
    </row>
    <row r="1086" spans="1:8" x14ac:dyDescent="0.2">
      <c r="A1086" s="6">
        <v>1085</v>
      </c>
      <c r="B1086" s="1" t="s">
        <v>94</v>
      </c>
      <c r="C1086" s="1" t="s">
        <v>63</v>
      </c>
      <c r="D1086" s="4">
        <v>0</v>
      </c>
      <c r="E1086" s="4">
        <v>0</v>
      </c>
      <c r="F1086" s="4">
        <v>0</v>
      </c>
      <c r="H1086" s="68">
        <f t="shared" si="16"/>
        <v>0</v>
      </c>
    </row>
    <row r="1087" spans="1:8" x14ac:dyDescent="0.2">
      <c r="A1087" s="6">
        <v>1086</v>
      </c>
      <c r="B1087" s="1" t="s">
        <v>94</v>
      </c>
      <c r="C1087" s="1" t="s">
        <v>64</v>
      </c>
      <c r="D1087" s="4">
        <v>3545.3</v>
      </c>
      <c r="E1087" s="4">
        <v>2047.8</v>
      </c>
      <c r="F1087" s="4">
        <v>5593.1</v>
      </c>
      <c r="H1087" s="68">
        <f t="shared" si="16"/>
        <v>0.36612969551769142</v>
      </c>
    </row>
    <row r="1088" spans="1:8" x14ac:dyDescent="0.2">
      <c r="A1088" s="7">
        <v>1087</v>
      </c>
      <c r="B1088" s="8" t="s">
        <v>94</v>
      </c>
      <c r="C1088" s="8" t="s">
        <v>65</v>
      </c>
      <c r="D1088" s="9">
        <v>60767.3</v>
      </c>
      <c r="E1088" s="9">
        <v>26014.499999999996</v>
      </c>
      <c r="F1088" s="9">
        <v>86781.8</v>
      </c>
      <c r="H1088" s="68">
        <f t="shared" si="16"/>
        <v>0.2997690760044156</v>
      </c>
    </row>
    <row r="1089" spans="1:8" x14ac:dyDescent="0.2">
      <c r="A1089" s="6">
        <v>1088</v>
      </c>
      <c r="B1089" s="1" t="s">
        <v>94</v>
      </c>
      <c r="C1089" s="1" t="s">
        <v>33</v>
      </c>
      <c r="D1089" s="4">
        <v>0.53676760913596622</v>
      </c>
      <c r="E1089" s="4">
        <v>0.13712931149905272</v>
      </c>
      <c r="F1089" s="4">
        <v>0.28648658463112897</v>
      </c>
      <c r="H1089" s="68">
        <f t="shared" si="16"/>
        <v>0.47865875351760734</v>
      </c>
    </row>
    <row r="1090" spans="1:8" x14ac:dyDescent="0.2">
      <c r="A1090" s="6">
        <v>1089</v>
      </c>
      <c r="B1090" s="1" t="s">
        <v>94</v>
      </c>
      <c r="C1090" s="1" t="s">
        <v>66</v>
      </c>
      <c r="D1090" s="4">
        <v>0</v>
      </c>
      <c r="E1090" s="4">
        <v>0</v>
      </c>
      <c r="F1090" s="4">
        <v>0</v>
      </c>
      <c r="H1090" s="68">
        <f t="shared" si="16"/>
        <v>0</v>
      </c>
    </row>
    <row r="1091" spans="1:8" x14ac:dyDescent="0.2">
      <c r="A1091" s="6">
        <v>1090</v>
      </c>
      <c r="B1091" s="1" t="s">
        <v>94</v>
      </c>
      <c r="C1091" s="1" t="s">
        <v>67</v>
      </c>
      <c r="D1091" s="4">
        <v>0</v>
      </c>
      <c r="E1091" s="4">
        <v>0</v>
      </c>
      <c r="F1091" s="4">
        <v>0</v>
      </c>
      <c r="H1091" s="68">
        <f t="shared" ref="H1091:H1154" si="17">IFERROR(E1091/F1091,0)</f>
        <v>0</v>
      </c>
    </row>
    <row r="1092" spans="1:8" x14ac:dyDescent="0.2">
      <c r="A1092" s="6">
        <v>1091</v>
      </c>
      <c r="B1092" s="1" t="s">
        <v>94</v>
      </c>
      <c r="C1092" s="1" t="s">
        <v>68</v>
      </c>
      <c r="D1092" s="4">
        <v>37.9</v>
      </c>
      <c r="E1092" s="4">
        <v>0</v>
      </c>
      <c r="F1092" s="4">
        <v>37.9</v>
      </c>
      <c r="H1092" s="68">
        <f t="shared" si="17"/>
        <v>0</v>
      </c>
    </row>
    <row r="1093" spans="1:8" x14ac:dyDescent="0.2">
      <c r="A1093" s="6">
        <v>1092</v>
      </c>
      <c r="B1093" s="1" t="s">
        <v>94</v>
      </c>
      <c r="C1093" s="1" t="s">
        <v>69</v>
      </c>
      <c r="D1093" s="4">
        <v>0</v>
      </c>
      <c r="E1093" s="4">
        <v>0</v>
      </c>
      <c r="F1093" s="4">
        <v>0</v>
      </c>
      <c r="H1093" s="68">
        <f t="shared" si="17"/>
        <v>0</v>
      </c>
    </row>
    <row r="1094" spans="1:8" x14ac:dyDescent="0.2">
      <c r="A1094" s="6">
        <v>1093</v>
      </c>
      <c r="B1094" s="1" t="s">
        <v>94</v>
      </c>
      <c r="C1094" s="1" t="s">
        <v>70</v>
      </c>
      <c r="D1094" s="4">
        <v>0</v>
      </c>
      <c r="E1094" s="4">
        <v>0</v>
      </c>
      <c r="F1094" s="4">
        <v>0</v>
      </c>
      <c r="H1094" s="68">
        <f t="shared" si="17"/>
        <v>0</v>
      </c>
    </row>
    <row r="1095" spans="1:8" x14ac:dyDescent="0.2">
      <c r="A1095" s="6">
        <v>1094</v>
      </c>
      <c r="B1095" s="1" t="s">
        <v>94</v>
      </c>
      <c r="C1095" s="1" t="s">
        <v>71</v>
      </c>
      <c r="D1095" s="4">
        <v>0</v>
      </c>
      <c r="E1095" s="4">
        <v>0</v>
      </c>
      <c r="F1095" s="4">
        <v>0</v>
      </c>
      <c r="H1095" s="68">
        <f t="shared" si="17"/>
        <v>0</v>
      </c>
    </row>
    <row r="1096" spans="1:8" x14ac:dyDescent="0.2">
      <c r="A1096" s="6">
        <v>1095</v>
      </c>
      <c r="B1096" s="1" t="s">
        <v>94</v>
      </c>
      <c r="C1096" s="1" t="s">
        <v>72</v>
      </c>
      <c r="D1096" s="4">
        <v>346.5</v>
      </c>
      <c r="E1096" s="4">
        <v>0</v>
      </c>
      <c r="F1096" s="4">
        <v>346.5</v>
      </c>
      <c r="H1096" s="68">
        <f t="shared" si="17"/>
        <v>0</v>
      </c>
    </row>
    <row r="1097" spans="1:8" x14ac:dyDescent="0.2">
      <c r="A1097" s="6">
        <v>1096</v>
      </c>
      <c r="B1097" s="1" t="s">
        <v>94</v>
      </c>
      <c r="C1097" s="1" t="s">
        <v>73</v>
      </c>
      <c r="D1097" s="4">
        <v>10100</v>
      </c>
      <c r="E1097" s="4">
        <v>0</v>
      </c>
      <c r="F1097" s="4">
        <v>10100</v>
      </c>
      <c r="H1097" s="68">
        <f t="shared" si="17"/>
        <v>0</v>
      </c>
    </row>
    <row r="1098" spans="1:8" x14ac:dyDescent="0.2">
      <c r="A1098" s="6">
        <v>1097</v>
      </c>
      <c r="B1098" s="1" t="s">
        <v>94</v>
      </c>
      <c r="C1098" s="1" t="s">
        <v>74</v>
      </c>
      <c r="D1098" s="4">
        <v>0</v>
      </c>
      <c r="E1098" s="4">
        <v>0</v>
      </c>
      <c r="F1098" s="4">
        <v>0</v>
      </c>
      <c r="H1098" s="68">
        <f t="shared" si="17"/>
        <v>0</v>
      </c>
    </row>
    <row r="1099" spans="1:8" x14ac:dyDescent="0.2">
      <c r="A1099" s="6">
        <v>1098</v>
      </c>
      <c r="B1099" s="1" t="s">
        <v>94</v>
      </c>
      <c r="C1099" s="1" t="s">
        <v>75</v>
      </c>
      <c r="D1099" s="4">
        <v>0</v>
      </c>
      <c r="E1099" s="4">
        <v>0</v>
      </c>
      <c r="F1099" s="4">
        <v>0</v>
      </c>
      <c r="H1099" s="68">
        <f t="shared" si="17"/>
        <v>0</v>
      </c>
    </row>
    <row r="1100" spans="1:8" x14ac:dyDescent="0.2">
      <c r="A1100" s="6">
        <v>1099</v>
      </c>
      <c r="B1100" s="1" t="s">
        <v>94</v>
      </c>
      <c r="C1100" s="1" t="s">
        <v>76</v>
      </c>
      <c r="D1100" s="4">
        <v>0</v>
      </c>
      <c r="E1100" s="4">
        <v>0</v>
      </c>
      <c r="F1100" s="4">
        <v>0</v>
      </c>
      <c r="H1100" s="68">
        <f t="shared" si="17"/>
        <v>0</v>
      </c>
    </row>
    <row r="1101" spans="1:8" x14ac:dyDescent="0.2">
      <c r="A1101" s="6">
        <v>1100</v>
      </c>
      <c r="B1101" s="1" t="s">
        <v>94</v>
      </c>
      <c r="C1101" s="1" t="s">
        <v>77</v>
      </c>
      <c r="D1101" s="4">
        <v>345.1</v>
      </c>
      <c r="E1101" s="4">
        <v>1733.1</v>
      </c>
      <c r="F1101" s="4">
        <v>2078.1999999999998</v>
      </c>
      <c r="H1101" s="68">
        <f t="shared" si="17"/>
        <v>0.83394283514579925</v>
      </c>
    </row>
    <row r="1102" spans="1:8" x14ac:dyDescent="0.2">
      <c r="A1102" s="6">
        <v>1101</v>
      </c>
      <c r="B1102" s="1" t="s">
        <v>94</v>
      </c>
      <c r="C1102" s="1" t="s">
        <v>78</v>
      </c>
      <c r="D1102" s="4">
        <v>0</v>
      </c>
      <c r="E1102" s="4">
        <v>0</v>
      </c>
      <c r="F1102" s="4">
        <v>0</v>
      </c>
      <c r="H1102" s="68">
        <f t="shared" si="17"/>
        <v>0</v>
      </c>
    </row>
    <row r="1103" spans="1:8" x14ac:dyDescent="0.2">
      <c r="A1103" s="7">
        <v>1102</v>
      </c>
      <c r="B1103" s="8" t="s">
        <v>94</v>
      </c>
      <c r="C1103" s="8" t="s">
        <v>79</v>
      </c>
      <c r="D1103" s="9">
        <v>10829.5</v>
      </c>
      <c r="E1103" s="9">
        <v>1733.1</v>
      </c>
      <c r="F1103" s="9">
        <v>12562.6</v>
      </c>
      <c r="H1103" s="68">
        <f t="shared" si="17"/>
        <v>0.13795711078916784</v>
      </c>
    </row>
    <row r="1104" spans="1:8" x14ac:dyDescent="0.2">
      <c r="A1104" s="6">
        <v>1103</v>
      </c>
      <c r="B1104" s="1" t="s">
        <v>94</v>
      </c>
      <c r="C1104" s="1" t="s">
        <v>33</v>
      </c>
      <c r="D1104" s="4">
        <v>9.5658764222500359E-2</v>
      </c>
      <c r="E1104" s="4">
        <v>9.1356285824831657E-3</v>
      </c>
      <c r="F1104" s="4">
        <v>4.1472017958685124E-2</v>
      </c>
      <c r="H1104" s="68">
        <f t="shared" si="17"/>
        <v>0.22028415862435674</v>
      </c>
    </row>
    <row r="1105" spans="1:8" x14ac:dyDescent="0.2">
      <c r="A1105" s="6">
        <v>1104</v>
      </c>
      <c r="B1105" s="1" t="s">
        <v>94</v>
      </c>
      <c r="C1105" s="1" t="s">
        <v>80</v>
      </c>
      <c r="D1105" s="4">
        <v>0</v>
      </c>
      <c r="E1105" s="4">
        <v>0</v>
      </c>
      <c r="F1105" s="4">
        <v>0</v>
      </c>
      <c r="H1105" s="68">
        <f t="shared" si="17"/>
        <v>0</v>
      </c>
    </row>
    <row r="1106" spans="1:8" x14ac:dyDescent="0.2">
      <c r="A1106" s="6">
        <v>1105</v>
      </c>
      <c r="B1106" s="1" t="s">
        <v>94</v>
      </c>
      <c r="C1106" s="1" t="s">
        <v>81</v>
      </c>
      <c r="D1106" s="4">
        <v>0</v>
      </c>
      <c r="E1106" s="4">
        <v>0</v>
      </c>
      <c r="F1106" s="4">
        <v>0</v>
      </c>
      <c r="H1106" s="68">
        <f t="shared" si="17"/>
        <v>0</v>
      </c>
    </row>
    <row r="1107" spans="1:8" x14ac:dyDescent="0.2">
      <c r="A1107" s="6">
        <v>1106</v>
      </c>
      <c r="B1107" s="1" t="s">
        <v>94</v>
      </c>
      <c r="C1107" s="1" t="s">
        <v>82</v>
      </c>
      <c r="D1107" s="4">
        <v>0</v>
      </c>
      <c r="E1107" s="4">
        <v>350.7</v>
      </c>
      <c r="F1107" s="4">
        <v>350.7</v>
      </c>
      <c r="H1107" s="68">
        <f t="shared" si="17"/>
        <v>1</v>
      </c>
    </row>
    <row r="1108" spans="1:8" x14ac:dyDescent="0.2">
      <c r="A1108" s="6">
        <v>1107</v>
      </c>
      <c r="B1108" s="1" t="s">
        <v>94</v>
      </c>
      <c r="C1108" s="1" t="s">
        <v>83</v>
      </c>
      <c r="D1108" s="4">
        <v>0</v>
      </c>
      <c r="E1108" s="4">
        <v>0</v>
      </c>
      <c r="F1108" s="4">
        <v>0</v>
      </c>
      <c r="H1108" s="68">
        <f t="shared" si="17"/>
        <v>0</v>
      </c>
    </row>
    <row r="1109" spans="1:8" x14ac:dyDescent="0.2">
      <c r="A1109" s="6">
        <v>1108</v>
      </c>
      <c r="B1109" s="1" t="s">
        <v>94</v>
      </c>
      <c r="C1109" s="1" t="s">
        <v>84</v>
      </c>
      <c r="D1109" s="4">
        <v>0</v>
      </c>
      <c r="E1109" s="4">
        <v>0</v>
      </c>
      <c r="F1109" s="4">
        <v>0</v>
      </c>
      <c r="H1109" s="68">
        <f t="shared" si="17"/>
        <v>0</v>
      </c>
    </row>
    <row r="1110" spans="1:8" x14ac:dyDescent="0.2">
      <c r="A1110" s="6">
        <v>1109</v>
      </c>
      <c r="B1110" s="1" t="s">
        <v>94</v>
      </c>
      <c r="C1110" s="1" t="s">
        <v>85</v>
      </c>
      <c r="D1110" s="4">
        <v>0</v>
      </c>
      <c r="E1110" s="4">
        <v>0</v>
      </c>
      <c r="F1110" s="4">
        <v>0</v>
      </c>
      <c r="H1110" s="68">
        <f t="shared" si="17"/>
        <v>0</v>
      </c>
    </row>
    <row r="1111" spans="1:8" x14ac:dyDescent="0.2">
      <c r="A1111" s="7">
        <v>1110</v>
      </c>
      <c r="B1111" s="8" t="s">
        <v>94</v>
      </c>
      <c r="C1111" s="8" t="s">
        <v>86</v>
      </c>
      <c r="D1111" s="9">
        <v>0</v>
      </c>
      <c r="E1111" s="9">
        <v>350.7</v>
      </c>
      <c r="F1111" s="9">
        <v>350.7</v>
      </c>
      <c r="H1111" s="68">
        <f t="shared" si="17"/>
        <v>1</v>
      </c>
    </row>
    <row r="1112" spans="1:8" x14ac:dyDescent="0.2">
      <c r="A1112" s="6">
        <v>1111</v>
      </c>
      <c r="B1112" s="1" t="s">
        <v>94</v>
      </c>
      <c r="C1112" s="1" t="s">
        <v>33</v>
      </c>
      <c r="D1112" s="4">
        <v>0</v>
      </c>
      <c r="E1112" s="4">
        <v>1.8486324758391587E-3</v>
      </c>
      <c r="F1112" s="4">
        <v>1.1577409690757385E-3</v>
      </c>
      <c r="H1112" s="68">
        <f t="shared" si="17"/>
        <v>1.5967582777302776</v>
      </c>
    </row>
    <row r="1113" spans="1:8" x14ac:dyDescent="0.2">
      <c r="A1113" s="6">
        <v>1112</v>
      </c>
      <c r="B1113" s="1" t="s">
        <v>94</v>
      </c>
      <c r="C1113" s="1" t="s">
        <v>87</v>
      </c>
      <c r="D1113" s="4">
        <v>0</v>
      </c>
      <c r="E1113" s="4">
        <v>0</v>
      </c>
      <c r="F1113" s="4">
        <v>0</v>
      </c>
      <c r="H1113" s="68">
        <f t="shared" si="17"/>
        <v>0</v>
      </c>
    </row>
    <row r="1114" spans="1:8" x14ac:dyDescent="0.2">
      <c r="A1114" s="6">
        <v>1113</v>
      </c>
      <c r="B1114" s="1" t="s">
        <v>94</v>
      </c>
      <c r="C1114" s="1" t="s">
        <v>88</v>
      </c>
      <c r="D1114" s="4">
        <v>0</v>
      </c>
      <c r="E1114" s="4">
        <v>0</v>
      </c>
      <c r="F1114" s="4">
        <v>0</v>
      </c>
      <c r="H1114" s="68">
        <f t="shared" si="17"/>
        <v>0</v>
      </c>
    </row>
    <row r="1115" spans="1:8" x14ac:dyDescent="0.2">
      <c r="A1115" s="7">
        <v>1114</v>
      </c>
      <c r="B1115" s="8" t="s">
        <v>94</v>
      </c>
      <c r="C1115" s="8" t="s">
        <v>89</v>
      </c>
      <c r="D1115" s="9">
        <v>0</v>
      </c>
      <c r="E1115" s="9">
        <v>0</v>
      </c>
      <c r="F1115" s="9">
        <v>0</v>
      </c>
      <c r="H1115" s="68">
        <f t="shared" si="17"/>
        <v>0</v>
      </c>
    </row>
    <row r="1116" spans="1:8" x14ac:dyDescent="0.2">
      <c r="A1116" s="6">
        <v>1115</v>
      </c>
      <c r="B1116" s="1" t="s">
        <v>94</v>
      </c>
      <c r="C1116" s="1" t="s">
        <v>33</v>
      </c>
      <c r="D1116" s="4">
        <v>0</v>
      </c>
      <c r="E1116" s="4">
        <v>0</v>
      </c>
      <c r="F1116" s="4">
        <v>0</v>
      </c>
      <c r="H1116" s="68">
        <f t="shared" si="17"/>
        <v>0</v>
      </c>
    </row>
    <row r="1117" spans="1:8" x14ac:dyDescent="0.2">
      <c r="A1117" s="6">
        <v>1116</v>
      </c>
      <c r="B1117" s="1" t="s">
        <v>94</v>
      </c>
      <c r="C1117" s="1" t="s">
        <v>90</v>
      </c>
      <c r="D1117" s="4">
        <v>24893.200000000001</v>
      </c>
      <c r="E1117" s="4">
        <v>0</v>
      </c>
      <c r="F1117" s="4">
        <v>24893.200000000001</v>
      </c>
      <c r="H1117" s="68">
        <f t="shared" si="17"/>
        <v>0</v>
      </c>
    </row>
    <row r="1118" spans="1:8" x14ac:dyDescent="0.2">
      <c r="A1118" s="6">
        <v>1117</v>
      </c>
      <c r="B1118" s="1" t="s">
        <v>94</v>
      </c>
      <c r="C1118" s="1" t="s">
        <v>33</v>
      </c>
      <c r="D1118" s="4">
        <v>0.21988575183928585</v>
      </c>
      <c r="E1118" s="4">
        <v>0</v>
      </c>
      <c r="F1118" s="4">
        <v>8.2178150816641496E-2</v>
      </c>
      <c r="H1118" s="68">
        <f t="shared" si="17"/>
        <v>0</v>
      </c>
    </row>
    <row r="1119" spans="1:8" x14ac:dyDescent="0.2">
      <c r="A1119" s="6">
        <v>1118</v>
      </c>
      <c r="B1119" s="1" t="s">
        <v>94</v>
      </c>
      <c r="C1119" s="1" t="s">
        <v>91</v>
      </c>
      <c r="D1119" s="4">
        <v>1045.8</v>
      </c>
      <c r="E1119" s="4">
        <v>556.70000000000005</v>
      </c>
      <c r="F1119" s="4">
        <v>1602.5</v>
      </c>
      <c r="H1119" s="68">
        <f t="shared" si="17"/>
        <v>0.34739469578783155</v>
      </c>
    </row>
    <row r="1120" spans="1:8" x14ac:dyDescent="0.2">
      <c r="A1120" s="6">
        <v>1119</v>
      </c>
      <c r="B1120" s="1" t="s">
        <v>94</v>
      </c>
      <c r="C1120" s="1" t="s">
        <v>33</v>
      </c>
      <c r="D1120" s="4">
        <v>9.2377243292756702E-3</v>
      </c>
      <c r="E1120" s="4">
        <v>2.9345129720549181E-3</v>
      </c>
      <c r="F1120" s="4">
        <v>5.2902192841285172E-3</v>
      </c>
      <c r="H1120" s="68">
        <f t="shared" si="17"/>
        <v>0.55470535613881156</v>
      </c>
    </row>
    <row r="1121" spans="1:8" x14ac:dyDescent="0.2">
      <c r="A1121" s="10">
        <v>1120</v>
      </c>
      <c r="B1121" s="11" t="s">
        <v>94</v>
      </c>
      <c r="C1121" s="11" t="s">
        <v>2</v>
      </c>
      <c r="D1121" s="12">
        <v>113209.70000000001</v>
      </c>
      <c r="E1121" s="12">
        <v>189707.80000000002</v>
      </c>
      <c r="F1121" s="12">
        <v>302917.5</v>
      </c>
      <c r="H1121" s="68">
        <f t="shared" si="17"/>
        <v>0.62626886858633135</v>
      </c>
    </row>
    <row r="1122" spans="1:8" x14ac:dyDescent="0.2">
      <c r="A1122" s="6">
        <v>1121</v>
      </c>
      <c r="B1122" s="1" t="s">
        <v>15</v>
      </c>
      <c r="C1122" s="1" t="s">
        <v>23</v>
      </c>
      <c r="D1122" s="4">
        <v>42576.6</v>
      </c>
      <c r="E1122" s="4">
        <v>2012.6</v>
      </c>
      <c r="F1122" s="4">
        <v>44589.2</v>
      </c>
      <c r="H1122" s="68">
        <f t="shared" si="17"/>
        <v>4.513649045060239E-2</v>
      </c>
    </row>
    <row r="1123" spans="1:8" x14ac:dyDescent="0.2">
      <c r="A1123" s="6">
        <v>1122</v>
      </c>
      <c r="B1123" s="1" t="s">
        <v>15</v>
      </c>
      <c r="C1123" s="1" t="s">
        <v>24</v>
      </c>
      <c r="D1123" s="4">
        <v>0</v>
      </c>
      <c r="E1123" s="4">
        <v>0</v>
      </c>
      <c r="F1123" s="4">
        <v>0</v>
      </c>
      <c r="H1123" s="68">
        <f t="shared" si="17"/>
        <v>0</v>
      </c>
    </row>
    <row r="1124" spans="1:8" x14ac:dyDescent="0.2">
      <c r="A1124" s="6">
        <v>1123</v>
      </c>
      <c r="B1124" s="1" t="s">
        <v>15</v>
      </c>
      <c r="C1124" s="1" t="s">
        <v>25</v>
      </c>
      <c r="D1124" s="4">
        <v>173.8</v>
      </c>
      <c r="E1124" s="4">
        <v>0</v>
      </c>
      <c r="F1124" s="4">
        <v>173.8</v>
      </c>
      <c r="H1124" s="68">
        <f t="shared" si="17"/>
        <v>0</v>
      </c>
    </row>
    <row r="1125" spans="1:8" x14ac:dyDescent="0.2">
      <c r="A1125" s="6">
        <v>1124</v>
      </c>
      <c r="B1125" s="1" t="s">
        <v>15</v>
      </c>
      <c r="C1125" s="1" t="s">
        <v>26</v>
      </c>
      <c r="D1125" s="4">
        <v>1577.5</v>
      </c>
      <c r="E1125" s="4">
        <v>0</v>
      </c>
      <c r="F1125" s="4">
        <v>1577.5</v>
      </c>
      <c r="H1125" s="68">
        <f t="shared" si="17"/>
        <v>0</v>
      </c>
    </row>
    <row r="1126" spans="1:8" x14ac:dyDescent="0.2">
      <c r="A1126" s="6">
        <v>1125</v>
      </c>
      <c r="B1126" s="1" t="s">
        <v>15</v>
      </c>
      <c r="C1126" s="1" t="s">
        <v>27</v>
      </c>
      <c r="D1126" s="4">
        <v>3569.1</v>
      </c>
      <c r="E1126" s="4">
        <v>1346.4</v>
      </c>
      <c r="F1126" s="4">
        <v>4915.5</v>
      </c>
      <c r="H1126" s="68">
        <f t="shared" si="17"/>
        <v>0.27390906316753127</v>
      </c>
    </row>
    <row r="1127" spans="1:8" x14ac:dyDescent="0.2">
      <c r="A1127" s="6">
        <v>1126</v>
      </c>
      <c r="B1127" s="1" t="s">
        <v>15</v>
      </c>
      <c r="C1127" s="1" t="s">
        <v>28</v>
      </c>
      <c r="D1127" s="4">
        <v>399.9</v>
      </c>
      <c r="E1127" s="4">
        <v>2.2999999999999998</v>
      </c>
      <c r="F1127" s="4">
        <v>402.2</v>
      </c>
      <c r="H1127" s="68">
        <f t="shared" si="17"/>
        <v>5.7185479860765789E-3</v>
      </c>
    </row>
    <row r="1128" spans="1:8" x14ac:dyDescent="0.2">
      <c r="A1128" s="6">
        <v>1127</v>
      </c>
      <c r="B1128" s="1" t="s">
        <v>15</v>
      </c>
      <c r="C1128" s="1" t="s">
        <v>29</v>
      </c>
      <c r="D1128" s="4">
        <v>2260.1999999999998</v>
      </c>
      <c r="E1128" s="4">
        <v>310.7</v>
      </c>
      <c r="F1128" s="4">
        <v>2570.8999999999996</v>
      </c>
      <c r="H1128" s="68">
        <f t="shared" si="17"/>
        <v>0.12085261970516163</v>
      </c>
    </row>
    <row r="1129" spans="1:8" x14ac:dyDescent="0.2">
      <c r="A1129" s="6">
        <v>1128</v>
      </c>
      <c r="B1129" s="1" t="s">
        <v>15</v>
      </c>
      <c r="C1129" s="1" t="s">
        <v>30</v>
      </c>
      <c r="D1129" s="4">
        <v>3887.2</v>
      </c>
      <c r="E1129" s="4">
        <v>262.10000000000002</v>
      </c>
      <c r="F1129" s="4">
        <v>4149.3</v>
      </c>
      <c r="H1129" s="68">
        <f t="shared" si="17"/>
        <v>6.316728122815897E-2</v>
      </c>
    </row>
    <row r="1130" spans="1:8" x14ac:dyDescent="0.2">
      <c r="A1130" s="6">
        <v>1129</v>
      </c>
      <c r="B1130" s="1" t="s">
        <v>15</v>
      </c>
      <c r="C1130" s="1" t="s">
        <v>31</v>
      </c>
      <c r="D1130" s="4">
        <v>0</v>
      </c>
      <c r="E1130" s="4">
        <v>0</v>
      </c>
      <c r="F1130" s="4">
        <v>0</v>
      </c>
      <c r="H1130" s="68">
        <f t="shared" si="17"/>
        <v>0</v>
      </c>
    </row>
    <row r="1131" spans="1:8" x14ac:dyDescent="0.2">
      <c r="A1131" s="7">
        <v>1130</v>
      </c>
      <c r="B1131" s="8" t="s">
        <v>15</v>
      </c>
      <c r="C1131" s="8" t="s">
        <v>32</v>
      </c>
      <c r="D1131" s="9">
        <v>54444.299999999996</v>
      </c>
      <c r="E1131" s="9">
        <v>3934.1</v>
      </c>
      <c r="F1131" s="9">
        <v>58378.399999999994</v>
      </c>
      <c r="H1131" s="68">
        <f t="shared" si="17"/>
        <v>6.7389650966795944E-2</v>
      </c>
    </row>
    <row r="1132" spans="1:8" x14ac:dyDescent="0.2">
      <c r="A1132" s="6">
        <v>1131</v>
      </c>
      <c r="B1132" s="1" t="s">
        <v>15</v>
      </c>
      <c r="C1132" s="1" t="s">
        <v>33</v>
      </c>
      <c r="D1132" s="4">
        <v>0.49457365467786657</v>
      </c>
      <c r="E1132" s="4">
        <v>4.1025892373903861E-2</v>
      </c>
      <c r="F1132" s="4">
        <v>0.28342276105417902</v>
      </c>
      <c r="H1132" s="68">
        <f t="shared" si="17"/>
        <v>0.14475157965898638</v>
      </c>
    </row>
    <row r="1133" spans="1:8" x14ac:dyDescent="0.2">
      <c r="A1133" s="6">
        <v>1132</v>
      </c>
      <c r="B1133" s="1" t="s">
        <v>15</v>
      </c>
      <c r="C1133" s="1" t="s">
        <v>34</v>
      </c>
      <c r="D1133" s="4">
        <v>310</v>
      </c>
      <c r="E1133" s="4">
        <v>0</v>
      </c>
      <c r="F1133" s="4">
        <v>310</v>
      </c>
      <c r="H1133" s="68">
        <f t="shared" si="17"/>
        <v>0</v>
      </c>
    </row>
    <row r="1134" spans="1:8" x14ac:dyDescent="0.2">
      <c r="A1134" s="6">
        <v>1133</v>
      </c>
      <c r="B1134" s="1" t="s">
        <v>15</v>
      </c>
      <c r="C1134" s="1" t="s">
        <v>35</v>
      </c>
      <c r="D1134" s="4">
        <v>461</v>
      </c>
      <c r="E1134" s="4">
        <v>4272.2</v>
      </c>
      <c r="F1134" s="4">
        <v>4733.2</v>
      </c>
      <c r="H1134" s="68">
        <f t="shared" si="17"/>
        <v>0.90260289022225981</v>
      </c>
    </row>
    <row r="1135" spans="1:8" x14ac:dyDescent="0.2">
      <c r="A1135" s="6">
        <v>1134</v>
      </c>
      <c r="B1135" s="1" t="s">
        <v>15</v>
      </c>
      <c r="C1135" s="1" t="s">
        <v>36</v>
      </c>
      <c r="D1135" s="4">
        <v>0</v>
      </c>
      <c r="E1135" s="4">
        <v>0</v>
      </c>
      <c r="F1135" s="4">
        <v>0</v>
      </c>
      <c r="H1135" s="68">
        <f t="shared" si="17"/>
        <v>0</v>
      </c>
    </row>
    <row r="1136" spans="1:8" x14ac:dyDescent="0.2">
      <c r="A1136" s="6">
        <v>1135</v>
      </c>
      <c r="B1136" s="1" t="s">
        <v>15</v>
      </c>
      <c r="C1136" s="1" t="s">
        <v>37</v>
      </c>
      <c r="D1136" s="4">
        <v>428.3</v>
      </c>
      <c r="E1136" s="4">
        <v>93.6</v>
      </c>
      <c r="F1136" s="4">
        <v>521.9</v>
      </c>
      <c r="H1136" s="68">
        <f t="shared" si="17"/>
        <v>0.17934470205020117</v>
      </c>
    </row>
    <row r="1137" spans="1:8" x14ac:dyDescent="0.2">
      <c r="A1137" s="7">
        <v>1136</v>
      </c>
      <c r="B1137" s="8" t="s">
        <v>15</v>
      </c>
      <c r="C1137" s="8" t="s">
        <v>38</v>
      </c>
      <c r="D1137" s="9">
        <v>1199.3</v>
      </c>
      <c r="E1137" s="9">
        <v>4365.8</v>
      </c>
      <c r="F1137" s="9">
        <v>5565.1</v>
      </c>
      <c r="H1137" s="68">
        <f t="shared" si="17"/>
        <v>0.78449623546746683</v>
      </c>
    </row>
    <row r="1138" spans="1:8" x14ac:dyDescent="0.2">
      <c r="A1138" s="6">
        <v>1137</v>
      </c>
      <c r="B1138" s="1" t="s">
        <v>15</v>
      </c>
      <c r="C1138" s="1" t="s">
        <v>33</v>
      </c>
      <c r="D1138" s="4">
        <v>1.0894477182279235E-2</v>
      </c>
      <c r="E1138" s="4">
        <v>4.5527780413814972E-2</v>
      </c>
      <c r="F1138" s="4">
        <v>2.7018143826185916E-2</v>
      </c>
      <c r="H1138" s="68">
        <f t="shared" si="17"/>
        <v>1.6850817253289458</v>
      </c>
    </row>
    <row r="1139" spans="1:8" x14ac:dyDescent="0.2">
      <c r="A1139" s="6">
        <v>1138</v>
      </c>
      <c r="B1139" s="1" t="s">
        <v>15</v>
      </c>
      <c r="C1139" s="1" t="s">
        <v>39</v>
      </c>
      <c r="D1139" s="4">
        <v>0</v>
      </c>
      <c r="E1139" s="4">
        <v>0</v>
      </c>
      <c r="F1139" s="4">
        <v>0</v>
      </c>
      <c r="H1139" s="68">
        <f t="shared" si="17"/>
        <v>0</v>
      </c>
    </row>
    <row r="1140" spans="1:8" x14ac:dyDescent="0.2">
      <c r="A1140" s="6">
        <v>1139</v>
      </c>
      <c r="B1140" s="1" t="s">
        <v>15</v>
      </c>
      <c r="C1140" s="1" t="s">
        <v>40</v>
      </c>
      <c r="D1140" s="4">
        <v>232.7</v>
      </c>
      <c r="E1140" s="4">
        <v>1533.4</v>
      </c>
      <c r="F1140" s="4">
        <v>1766.1000000000001</v>
      </c>
      <c r="H1140" s="68">
        <f t="shared" si="17"/>
        <v>0.86824075646905607</v>
      </c>
    </row>
    <row r="1141" spans="1:8" x14ac:dyDescent="0.2">
      <c r="A1141" s="6">
        <v>1140</v>
      </c>
      <c r="B1141" s="1" t="s">
        <v>15</v>
      </c>
      <c r="C1141" s="1" t="s">
        <v>41</v>
      </c>
      <c r="D1141" s="4">
        <v>87.6</v>
      </c>
      <c r="E1141" s="4">
        <v>380.4</v>
      </c>
      <c r="F1141" s="4">
        <v>468</v>
      </c>
      <c r="H1141" s="68">
        <f t="shared" si="17"/>
        <v>0.81282051282051282</v>
      </c>
    </row>
    <row r="1142" spans="1:8" x14ac:dyDescent="0.2">
      <c r="A1142" s="6">
        <v>1141</v>
      </c>
      <c r="B1142" s="1" t="s">
        <v>15</v>
      </c>
      <c r="C1142" s="1" t="s">
        <v>42</v>
      </c>
      <c r="D1142" s="4">
        <v>447.7</v>
      </c>
      <c r="E1142" s="4">
        <v>8300.2999999999993</v>
      </c>
      <c r="F1142" s="4">
        <v>8748</v>
      </c>
      <c r="H1142" s="68">
        <f t="shared" si="17"/>
        <v>0.94882258802011876</v>
      </c>
    </row>
    <row r="1143" spans="1:8" x14ac:dyDescent="0.2">
      <c r="A1143" s="6">
        <v>1142</v>
      </c>
      <c r="B1143" s="1" t="s">
        <v>15</v>
      </c>
      <c r="C1143" s="1" t="s">
        <v>43</v>
      </c>
      <c r="D1143" s="4">
        <v>0</v>
      </c>
      <c r="E1143" s="4">
        <v>0</v>
      </c>
      <c r="F1143" s="4">
        <v>0</v>
      </c>
      <c r="H1143" s="68">
        <f t="shared" si="17"/>
        <v>0</v>
      </c>
    </row>
    <row r="1144" spans="1:8" x14ac:dyDescent="0.2">
      <c r="A1144" s="6">
        <v>1143</v>
      </c>
      <c r="B1144" s="1" t="s">
        <v>15</v>
      </c>
      <c r="C1144" s="1" t="s">
        <v>44</v>
      </c>
      <c r="D1144" s="4">
        <v>266.3</v>
      </c>
      <c r="E1144" s="4">
        <v>0</v>
      </c>
      <c r="F1144" s="4">
        <v>266.3</v>
      </c>
      <c r="H1144" s="68">
        <f t="shared" si="17"/>
        <v>0</v>
      </c>
    </row>
    <row r="1145" spans="1:8" x14ac:dyDescent="0.2">
      <c r="A1145" s="7">
        <v>1144</v>
      </c>
      <c r="B1145" s="8" t="s">
        <v>15</v>
      </c>
      <c r="C1145" s="8" t="s">
        <v>45</v>
      </c>
      <c r="D1145" s="9">
        <v>1034.3</v>
      </c>
      <c r="E1145" s="9">
        <v>10214.099999999999</v>
      </c>
      <c r="F1145" s="9">
        <v>11248.399999999998</v>
      </c>
      <c r="H1145" s="68">
        <f t="shared" si="17"/>
        <v>0.90804914476725584</v>
      </c>
    </row>
    <row r="1146" spans="1:8" x14ac:dyDescent="0.2">
      <c r="A1146" s="6">
        <v>1145</v>
      </c>
      <c r="B1146" s="1" t="s">
        <v>15</v>
      </c>
      <c r="C1146" s="1" t="s">
        <v>33</v>
      </c>
      <c r="D1146" s="4">
        <v>9.3956122318280769E-3</v>
      </c>
      <c r="E1146" s="4">
        <v>0.10651548443005805</v>
      </c>
      <c r="F1146" s="4">
        <v>5.4610139802423956E-2</v>
      </c>
      <c r="H1146" s="68">
        <f t="shared" si="17"/>
        <v>1.9504708249314937</v>
      </c>
    </row>
    <row r="1147" spans="1:8" x14ac:dyDescent="0.2">
      <c r="A1147" s="6">
        <v>1146</v>
      </c>
      <c r="B1147" s="1" t="s">
        <v>15</v>
      </c>
      <c r="C1147" s="1" t="s">
        <v>46</v>
      </c>
      <c r="D1147" s="4">
        <v>2696</v>
      </c>
      <c r="E1147" s="4">
        <v>0</v>
      </c>
      <c r="F1147" s="4">
        <v>2696</v>
      </c>
      <c r="H1147" s="68">
        <f t="shared" si="17"/>
        <v>0</v>
      </c>
    </row>
    <row r="1148" spans="1:8" x14ac:dyDescent="0.2">
      <c r="A1148" s="6">
        <v>1147</v>
      </c>
      <c r="B1148" s="1" t="s">
        <v>15</v>
      </c>
      <c r="C1148" s="1" t="s">
        <v>47</v>
      </c>
      <c r="D1148" s="4">
        <v>3531.4</v>
      </c>
      <c r="E1148" s="4">
        <v>0</v>
      </c>
      <c r="F1148" s="4">
        <v>3531.4</v>
      </c>
      <c r="H1148" s="68">
        <f t="shared" si="17"/>
        <v>0</v>
      </c>
    </row>
    <row r="1149" spans="1:8" x14ac:dyDescent="0.2">
      <c r="A1149" s="6">
        <v>1148</v>
      </c>
      <c r="B1149" s="1" t="s">
        <v>15</v>
      </c>
      <c r="C1149" s="1" t="s">
        <v>48</v>
      </c>
      <c r="D1149" s="4">
        <v>0</v>
      </c>
      <c r="E1149" s="4">
        <v>0</v>
      </c>
      <c r="F1149" s="4">
        <v>0</v>
      </c>
      <c r="H1149" s="68">
        <f t="shared" si="17"/>
        <v>0</v>
      </c>
    </row>
    <row r="1150" spans="1:8" x14ac:dyDescent="0.2">
      <c r="A1150" s="6">
        <v>1149</v>
      </c>
      <c r="B1150" s="1" t="s">
        <v>15</v>
      </c>
      <c r="C1150" s="1" t="s">
        <v>49</v>
      </c>
      <c r="D1150" s="4">
        <v>0</v>
      </c>
      <c r="E1150" s="4">
        <v>0</v>
      </c>
      <c r="F1150" s="4">
        <v>0</v>
      </c>
      <c r="H1150" s="68">
        <f t="shared" si="17"/>
        <v>0</v>
      </c>
    </row>
    <row r="1151" spans="1:8" x14ac:dyDescent="0.2">
      <c r="A1151" s="6">
        <v>1150</v>
      </c>
      <c r="B1151" s="1" t="s">
        <v>15</v>
      </c>
      <c r="C1151" s="1" t="s">
        <v>50</v>
      </c>
      <c r="D1151" s="4">
        <v>141.1</v>
      </c>
      <c r="E1151" s="4">
        <v>102.2</v>
      </c>
      <c r="F1151" s="4">
        <v>243.3</v>
      </c>
      <c r="H1151" s="68">
        <f t="shared" si="17"/>
        <v>0.42005754212905877</v>
      </c>
    </row>
    <row r="1152" spans="1:8" x14ac:dyDescent="0.2">
      <c r="A1152" s="7">
        <v>1151</v>
      </c>
      <c r="B1152" s="8" t="s">
        <v>15</v>
      </c>
      <c r="C1152" s="8" t="s">
        <v>51</v>
      </c>
      <c r="D1152" s="9">
        <v>6368.5</v>
      </c>
      <c r="E1152" s="9">
        <v>102.2</v>
      </c>
      <c r="F1152" s="9">
        <v>6470.7</v>
      </c>
      <c r="H1152" s="68">
        <f t="shared" si="17"/>
        <v>1.5794272644381598E-2</v>
      </c>
    </row>
    <row r="1153" spans="1:8" x14ac:dyDescent="0.2">
      <c r="A1153" s="6">
        <v>1152</v>
      </c>
      <c r="B1153" s="1" t="s">
        <v>15</v>
      </c>
      <c r="C1153" s="1" t="s">
        <v>33</v>
      </c>
      <c r="D1153" s="4">
        <v>5.7851645072413339E-2</v>
      </c>
      <c r="E1153" s="4">
        <v>1.0657701127609808E-3</v>
      </c>
      <c r="F1153" s="4">
        <v>3.1414764021509257E-2</v>
      </c>
      <c r="H1153" s="68">
        <f t="shared" si="17"/>
        <v>3.3925771717758652E-2</v>
      </c>
    </row>
    <row r="1154" spans="1:8" x14ac:dyDescent="0.2">
      <c r="A1154" s="6">
        <v>1153</v>
      </c>
      <c r="B1154" s="1" t="s">
        <v>15</v>
      </c>
      <c r="C1154" s="1" t="s">
        <v>52</v>
      </c>
      <c r="D1154" s="4">
        <v>371.9</v>
      </c>
      <c r="E1154" s="4">
        <v>1025.2</v>
      </c>
      <c r="F1154" s="4">
        <v>1397.1</v>
      </c>
      <c r="H1154" s="68">
        <f t="shared" si="17"/>
        <v>0.73380574046238645</v>
      </c>
    </row>
    <row r="1155" spans="1:8" x14ac:dyDescent="0.2">
      <c r="A1155" s="6">
        <v>1154</v>
      </c>
      <c r="B1155" s="1" t="s">
        <v>15</v>
      </c>
      <c r="C1155" s="1" t="s">
        <v>53</v>
      </c>
      <c r="D1155" s="4">
        <v>0</v>
      </c>
      <c r="E1155" s="4">
        <v>4872.7</v>
      </c>
      <c r="F1155" s="4">
        <v>4872.7</v>
      </c>
      <c r="H1155" s="68">
        <f t="shared" ref="H1155:H1201" si="18">IFERROR(E1155/F1155,0)</f>
        <v>1</v>
      </c>
    </row>
    <row r="1156" spans="1:8" x14ac:dyDescent="0.2">
      <c r="A1156" s="6">
        <v>1155</v>
      </c>
      <c r="B1156" s="1" t="s">
        <v>15</v>
      </c>
      <c r="C1156" s="1" t="s">
        <v>54</v>
      </c>
      <c r="D1156" s="4">
        <v>519.9</v>
      </c>
      <c r="E1156" s="4">
        <v>28.4</v>
      </c>
      <c r="F1156" s="4">
        <v>548.29999999999995</v>
      </c>
      <c r="H1156" s="68">
        <f t="shared" si="18"/>
        <v>5.1796461790990338E-2</v>
      </c>
    </row>
    <row r="1157" spans="1:8" x14ac:dyDescent="0.2">
      <c r="A1157" s="6">
        <v>1156</v>
      </c>
      <c r="B1157" s="1" t="s">
        <v>15</v>
      </c>
      <c r="C1157" s="1" t="s">
        <v>55</v>
      </c>
      <c r="D1157" s="4">
        <v>812.6</v>
      </c>
      <c r="E1157" s="4">
        <v>36.9</v>
      </c>
      <c r="F1157" s="4">
        <v>849.5</v>
      </c>
      <c r="H1157" s="68">
        <f t="shared" si="18"/>
        <v>4.3437316068275451E-2</v>
      </c>
    </row>
    <row r="1158" spans="1:8" x14ac:dyDescent="0.2">
      <c r="A1158" s="6">
        <v>1157</v>
      </c>
      <c r="B1158" s="1" t="s">
        <v>15</v>
      </c>
      <c r="C1158" s="1" t="s">
        <v>56</v>
      </c>
      <c r="D1158" s="4">
        <v>16854.900000000001</v>
      </c>
      <c r="E1158" s="4">
        <v>29654.7</v>
      </c>
      <c r="F1158" s="4">
        <v>46509.600000000006</v>
      </c>
      <c r="H1158" s="68">
        <f t="shared" si="18"/>
        <v>0.63760384952783933</v>
      </c>
    </row>
    <row r="1159" spans="1:8" x14ac:dyDescent="0.2">
      <c r="A1159" s="6">
        <v>1158</v>
      </c>
      <c r="B1159" s="1" t="s">
        <v>15</v>
      </c>
      <c r="C1159" s="1" t="s">
        <v>57</v>
      </c>
      <c r="D1159" s="4">
        <v>1655.1</v>
      </c>
      <c r="E1159" s="4">
        <v>4499.8</v>
      </c>
      <c r="F1159" s="4">
        <v>6154.9</v>
      </c>
      <c r="H1159" s="68">
        <f t="shared" si="18"/>
        <v>0.73109230044354911</v>
      </c>
    </row>
    <row r="1160" spans="1:8" x14ac:dyDescent="0.2">
      <c r="A1160" s="6">
        <v>1159</v>
      </c>
      <c r="B1160" s="1" t="s">
        <v>15</v>
      </c>
      <c r="C1160" s="1" t="s">
        <v>58</v>
      </c>
      <c r="D1160" s="4">
        <v>937.4</v>
      </c>
      <c r="E1160" s="4">
        <v>393.1</v>
      </c>
      <c r="F1160" s="4">
        <v>1330.5</v>
      </c>
      <c r="H1160" s="68">
        <f t="shared" si="18"/>
        <v>0.29545283727921834</v>
      </c>
    </row>
    <row r="1161" spans="1:8" x14ac:dyDescent="0.2">
      <c r="A1161" s="7">
        <v>1160</v>
      </c>
      <c r="B1161" s="8" t="s">
        <v>15</v>
      </c>
      <c r="C1161" s="8" t="s">
        <v>59</v>
      </c>
      <c r="D1161" s="9">
        <v>21151.800000000003</v>
      </c>
      <c r="E1161" s="9">
        <v>40510.800000000003</v>
      </c>
      <c r="F1161" s="9">
        <v>61662.600000000006</v>
      </c>
      <c r="H1161" s="68">
        <f t="shared" si="18"/>
        <v>0.65697521674402315</v>
      </c>
    </row>
    <row r="1162" spans="1:8" x14ac:dyDescent="0.2">
      <c r="A1162" s="6">
        <v>1161</v>
      </c>
      <c r="B1162" s="1" t="s">
        <v>15</v>
      </c>
      <c r="C1162" s="1" t="s">
        <v>33</v>
      </c>
      <c r="D1162" s="4">
        <v>0.19214358581183522</v>
      </c>
      <c r="E1162" s="4">
        <v>0.42245792450134584</v>
      </c>
      <c r="F1162" s="4">
        <v>0.29936730615740448</v>
      </c>
      <c r="H1162" s="68">
        <f t="shared" si="18"/>
        <v>1.4111692085682246</v>
      </c>
    </row>
    <row r="1163" spans="1:8" x14ac:dyDescent="0.2">
      <c r="A1163" s="6">
        <v>1162</v>
      </c>
      <c r="B1163" s="1" t="s">
        <v>15</v>
      </c>
      <c r="C1163" s="1" t="s">
        <v>60</v>
      </c>
      <c r="D1163" s="4">
        <v>3824.7</v>
      </c>
      <c r="E1163" s="4">
        <v>111.7</v>
      </c>
      <c r="F1163" s="4">
        <v>3936.3999999999996</v>
      </c>
      <c r="H1163" s="68">
        <f t="shared" si="18"/>
        <v>2.8376181282390004E-2</v>
      </c>
    </row>
    <row r="1164" spans="1:8" x14ac:dyDescent="0.2">
      <c r="A1164" s="6">
        <v>1163</v>
      </c>
      <c r="B1164" s="1" t="s">
        <v>15</v>
      </c>
      <c r="C1164" s="1" t="s">
        <v>61</v>
      </c>
      <c r="D1164" s="4">
        <v>1094.2</v>
      </c>
      <c r="E1164" s="4">
        <v>4467.1000000000004</v>
      </c>
      <c r="F1164" s="4">
        <v>5561.3</v>
      </c>
      <c r="H1164" s="68">
        <f t="shared" si="18"/>
        <v>0.80324744214482224</v>
      </c>
    </row>
    <row r="1165" spans="1:8" x14ac:dyDescent="0.2">
      <c r="A1165" s="6">
        <v>1164</v>
      </c>
      <c r="B1165" s="1" t="s">
        <v>15</v>
      </c>
      <c r="C1165" s="1" t="s">
        <v>62</v>
      </c>
      <c r="D1165" s="4">
        <v>3628.1</v>
      </c>
      <c r="E1165" s="4">
        <v>0</v>
      </c>
      <c r="F1165" s="4">
        <v>3628.1</v>
      </c>
      <c r="H1165" s="68">
        <f t="shared" si="18"/>
        <v>0</v>
      </c>
    </row>
    <row r="1166" spans="1:8" x14ac:dyDescent="0.2">
      <c r="A1166" s="6">
        <v>1165</v>
      </c>
      <c r="B1166" s="1" t="s">
        <v>15</v>
      </c>
      <c r="C1166" s="1" t="s">
        <v>63</v>
      </c>
      <c r="D1166" s="4">
        <v>0</v>
      </c>
      <c r="E1166" s="4">
        <v>0</v>
      </c>
      <c r="F1166" s="4">
        <v>0</v>
      </c>
      <c r="H1166" s="68">
        <f t="shared" si="18"/>
        <v>0</v>
      </c>
    </row>
    <row r="1167" spans="1:8" x14ac:dyDescent="0.2">
      <c r="A1167" s="6">
        <v>1166</v>
      </c>
      <c r="B1167" s="1" t="s">
        <v>15</v>
      </c>
      <c r="C1167" s="1" t="s">
        <v>64</v>
      </c>
      <c r="D1167" s="4">
        <v>2263.6999999999998</v>
      </c>
      <c r="E1167" s="4">
        <v>0</v>
      </c>
      <c r="F1167" s="4">
        <v>2263.6999999999998</v>
      </c>
      <c r="H1167" s="68">
        <f t="shared" si="18"/>
        <v>0</v>
      </c>
    </row>
    <row r="1168" spans="1:8" x14ac:dyDescent="0.2">
      <c r="A1168" s="7">
        <v>1167</v>
      </c>
      <c r="B1168" s="8" t="s">
        <v>15</v>
      </c>
      <c r="C1168" s="8" t="s">
        <v>65</v>
      </c>
      <c r="D1168" s="9">
        <v>10810.7</v>
      </c>
      <c r="E1168" s="9">
        <v>4578.8</v>
      </c>
      <c r="F1168" s="9">
        <v>15389.5</v>
      </c>
      <c r="H1168" s="68">
        <f t="shared" si="18"/>
        <v>0.29752753500763507</v>
      </c>
    </row>
    <row r="1169" spans="1:8" x14ac:dyDescent="0.2">
      <c r="A1169" s="6">
        <v>1168</v>
      </c>
      <c r="B1169" s="1" t="s">
        <v>15</v>
      </c>
      <c r="C1169" s="1" t="s">
        <v>33</v>
      </c>
      <c r="D1169" s="4">
        <v>9.8204723150559614E-2</v>
      </c>
      <c r="E1169" s="4">
        <v>4.7749003838649502E-2</v>
      </c>
      <c r="F1169" s="4">
        <v>7.4714870247271054E-2</v>
      </c>
      <c r="H1169" s="68">
        <f t="shared" si="18"/>
        <v>0.63908300557335873</v>
      </c>
    </row>
    <row r="1170" spans="1:8" x14ac:dyDescent="0.2">
      <c r="A1170" s="6">
        <v>1169</v>
      </c>
      <c r="B1170" s="1" t="s">
        <v>15</v>
      </c>
      <c r="C1170" s="1" t="s">
        <v>66</v>
      </c>
      <c r="D1170" s="4">
        <v>266.60000000000002</v>
      </c>
      <c r="E1170" s="4">
        <v>241.2</v>
      </c>
      <c r="F1170" s="4">
        <v>507.8</v>
      </c>
      <c r="H1170" s="68">
        <f t="shared" si="18"/>
        <v>0.474990153603781</v>
      </c>
    </row>
    <row r="1171" spans="1:8" x14ac:dyDescent="0.2">
      <c r="A1171" s="6">
        <v>1170</v>
      </c>
      <c r="B1171" s="1" t="s">
        <v>15</v>
      </c>
      <c r="C1171" s="1" t="s">
        <v>67</v>
      </c>
      <c r="D1171" s="4">
        <v>1753.4</v>
      </c>
      <c r="E1171" s="4">
        <v>2858.9</v>
      </c>
      <c r="F1171" s="4">
        <v>4612.3</v>
      </c>
      <c r="H1171" s="68">
        <f t="shared" si="18"/>
        <v>0.61984259480085857</v>
      </c>
    </row>
    <row r="1172" spans="1:8" x14ac:dyDescent="0.2">
      <c r="A1172" s="6">
        <v>1171</v>
      </c>
      <c r="B1172" s="1" t="s">
        <v>15</v>
      </c>
      <c r="C1172" s="1" t="s">
        <v>68</v>
      </c>
      <c r="D1172" s="4">
        <v>2841.4</v>
      </c>
      <c r="E1172" s="4">
        <v>1986.4</v>
      </c>
      <c r="F1172" s="4">
        <v>4827.8</v>
      </c>
      <c r="H1172" s="68">
        <f t="shared" si="18"/>
        <v>0.41145035005592612</v>
      </c>
    </row>
    <row r="1173" spans="1:8" x14ac:dyDescent="0.2">
      <c r="A1173" s="6">
        <v>1172</v>
      </c>
      <c r="B1173" s="1" t="s">
        <v>15</v>
      </c>
      <c r="C1173" s="1" t="s">
        <v>69</v>
      </c>
      <c r="D1173" s="4">
        <v>475.2</v>
      </c>
      <c r="E1173" s="4">
        <v>187.6</v>
      </c>
      <c r="F1173" s="4">
        <v>662.8</v>
      </c>
      <c r="H1173" s="68">
        <f t="shared" si="18"/>
        <v>0.28304164152082079</v>
      </c>
    </row>
    <row r="1174" spans="1:8" x14ac:dyDescent="0.2">
      <c r="A1174" s="6">
        <v>1173</v>
      </c>
      <c r="B1174" s="1" t="s">
        <v>15</v>
      </c>
      <c r="C1174" s="1" t="s">
        <v>70</v>
      </c>
      <c r="D1174" s="4">
        <v>3604.4</v>
      </c>
      <c r="E1174" s="4">
        <v>2671.5</v>
      </c>
      <c r="F1174" s="4">
        <v>6275.9</v>
      </c>
      <c r="H1174" s="68">
        <f t="shared" si="18"/>
        <v>0.4256759986615466</v>
      </c>
    </row>
    <row r="1175" spans="1:8" x14ac:dyDescent="0.2">
      <c r="A1175" s="6">
        <v>1174</v>
      </c>
      <c r="B1175" s="1" t="s">
        <v>15</v>
      </c>
      <c r="C1175" s="1" t="s">
        <v>71</v>
      </c>
      <c r="D1175" s="4">
        <v>0</v>
      </c>
      <c r="E1175" s="4">
        <v>0</v>
      </c>
      <c r="F1175" s="4">
        <v>0</v>
      </c>
      <c r="H1175" s="68">
        <f t="shared" si="18"/>
        <v>0</v>
      </c>
    </row>
    <row r="1176" spans="1:8" x14ac:dyDescent="0.2">
      <c r="A1176" s="6">
        <v>1175</v>
      </c>
      <c r="B1176" s="1" t="s">
        <v>15</v>
      </c>
      <c r="C1176" s="1" t="s">
        <v>72</v>
      </c>
      <c r="D1176" s="4">
        <v>327</v>
      </c>
      <c r="E1176" s="4">
        <v>626.20000000000005</v>
      </c>
      <c r="F1176" s="4">
        <v>953.2</v>
      </c>
      <c r="H1176" s="68">
        <f t="shared" si="18"/>
        <v>0.65694502727654214</v>
      </c>
    </row>
    <row r="1177" spans="1:8" x14ac:dyDescent="0.2">
      <c r="A1177" s="6">
        <v>1176</v>
      </c>
      <c r="B1177" s="1" t="s">
        <v>15</v>
      </c>
      <c r="C1177" s="1" t="s">
        <v>73</v>
      </c>
      <c r="D1177" s="4">
        <v>571.4</v>
      </c>
      <c r="E1177" s="4">
        <v>0</v>
      </c>
      <c r="F1177" s="4">
        <v>571.4</v>
      </c>
      <c r="H1177" s="68">
        <f t="shared" si="18"/>
        <v>0</v>
      </c>
    </row>
    <row r="1178" spans="1:8" x14ac:dyDescent="0.2">
      <c r="A1178" s="6">
        <v>1177</v>
      </c>
      <c r="B1178" s="1" t="s">
        <v>15</v>
      </c>
      <c r="C1178" s="1" t="s">
        <v>74</v>
      </c>
      <c r="D1178" s="4">
        <v>1862.6</v>
      </c>
      <c r="E1178" s="4">
        <v>0</v>
      </c>
      <c r="F1178" s="4">
        <v>1862.6</v>
      </c>
      <c r="H1178" s="68">
        <f t="shared" si="18"/>
        <v>0</v>
      </c>
    </row>
    <row r="1179" spans="1:8" x14ac:dyDescent="0.2">
      <c r="A1179" s="6">
        <v>1178</v>
      </c>
      <c r="B1179" s="1" t="s">
        <v>15</v>
      </c>
      <c r="C1179" s="1" t="s">
        <v>75</v>
      </c>
      <c r="D1179" s="4">
        <v>125</v>
      </c>
      <c r="E1179" s="4">
        <v>125</v>
      </c>
      <c r="F1179" s="4">
        <v>250</v>
      </c>
      <c r="H1179" s="68">
        <f t="shared" si="18"/>
        <v>0.5</v>
      </c>
    </row>
    <row r="1180" spans="1:8" x14ac:dyDescent="0.2">
      <c r="A1180" s="6">
        <v>1179</v>
      </c>
      <c r="B1180" s="1" t="s">
        <v>15</v>
      </c>
      <c r="C1180" s="1" t="s">
        <v>76</v>
      </c>
      <c r="D1180" s="4">
        <v>0</v>
      </c>
      <c r="E1180" s="4">
        <v>0</v>
      </c>
      <c r="F1180" s="4">
        <v>0</v>
      </c>
      <c r="H1180" s="68">
        <f t="shared" si="18"/>
        <v>0</v>
      </c>
    </row>
    <row r="1181" spans="1:8" x14ac:dyDescent="0.2">
      <c r="A1181" s="6">
        <v>1180</v>
      </c>
      <c r="B1181" s="1" t="s">
        <v>15</v>
      </c>
      <c r="C1181" s="1" t="s">
        <v>77</v>
      </c>
      <c r="D1181" s="4">
        <v>0</v>
      </c>
      <c r="E1181" s="4">
        <v>0</v>
      </c>
      <c r="F1181" s="4">
        <v>0</v>
      </c>
      <c r="H1181" s="68">
        <f t="shared" si="18"/>
        <v>0</v>
      </c>
    </row>
    <row r="1182" spans="1:8" x14ac:dyDescent="0.2">
      <c r="A1182" s="6">
        <v>1181</v>
      </c>
      <c r="B1182" s="1" t="s">
        <v>15</v>
      </c>
      <c r="C1182" s="1" t="s">
        <v>78</v>
      </c>
      <c r="D1182" s="4">
        <v>262</v>
      </c>
      <c r="E1182" s="4">
        <v>0</v>
      </c>
      <c r="F1182" s="4">
        <v>262</v>
      </c>
      <c r="H1182" s="68">
        <f t="shared" si="18"/>
        <v>0</v>
      </c>
    </row>
    <row r="1183" spans="1:8" x14ac:dyDescent="0.2">
      <c r="A1183" s="7">
        <v>1182</v>
      </c>
      <c r="B1183" s="8" t="s">
        <v>15</v>
      </c>
      <c r="C1183" s="8" t="s">
        <v>79</v>
      </c>
      <c r="D1183" s="9">
        <v>12089</v>
      </c>
      <c r="E1183" s="9">
        <v>8696.8000000000011</v>
      </c>
      <c r="F1183" s="9">
        <v>20785.800000000003</v>
      </c>
      <c r="H1183" s="68">
        <f t="shared" si="18"/>
        <v>0.41840102377584698</v>
      </c>
    </row>
    <row r="1184" spans="1:8" x14ac:dyDescent="0.2">
      <c r="A1184" s="6">
        <v>1183</v>
      </c>
      <c r="B1184" s="1" t="s">
        <v>15</v>
      </c>
      <c r="C1184" s="1" t="s">
        <v>33</v>
      </c>
      <c r="D1184" s="4">
        <v>0.10981683870305485</v>
      </c>
      <c r="E1184" s="4">
        <v>9.0692656718783751E-2</v>
      </c>
      <c r="F1184" s="4">
        <v>0.10091350271196119</v>
      </c>
      <c r="H1184" s="68">
        <f t="shared" si="18"/>
        <v>0.89871676516520349</v>
      </c>
    </row>
    <row r="1185" spans="1:8" x14ac:dyDescent="0.2">
      <c r="A1185" s="6">
        <v>1184</v>
      </c>
      <c r="B1185" s="1" t="s">
        <v>15</v>
      </c>
      <c r="C1185" s="1" t="s">
        <v>80</v>
      </c>
      <c r="D1185" s="4">
        <v>0</v>
      </c>
      <c r="E1185" s="4">
        <v>8567.9</v>
      </c>
      <c r="F1185" s="4">
        <v>8567.9</v>
      </c>
      <c r="H1185" s="68">
        <f t="shared" si="18"/>
        <v>1</v>
      </c>
    </row>
    <row r="1186" spans="1:8" x14ac:dyDescent="0.2">
      <c r="A1186" s="6">
        <v>1185</v>
      </c>
      <c r="B1186" s="1" t="s">
        <v>15</v>
      </c>
      <c r="C1186" s="1" t="s">
        <v>81</v>
      </c>
      <c r="D1186" s="4">
        <v>0</v>
      </c>
      <c r="E1186" s="4">
        <v>8030.4</v>
      </c>
      <c r="F1186" s="4">
        <v>8030.4</v>
      </c>
      <c r="H1186" s="68">
        <f t="shared" si="18"/>
        <v>1</v>
      </c>
    </row>
    <row r="1187" spans="1:8" x14ac:dyDescent="0.2">
      <c r="A1187" s="6">
        <v>1186</v>
      </c>
      <c r="B1187" s="1" t="s">
        <v>15</v>
      </c>
      <c r="C1187" s="1" t="s">
        <v>82</v>
      </c>
      <c r="D1187" s="4">
        <v>0</v>
      </c>
      <c r="E1187" s="4">
        <v>2416.6</v>
      </c>
      <c r="F1187" s="4">
        <v>2416.6</v>
      </c>
      <c r="H1187" s="68">
        <f t="shared" si="18"/>
        <v>1</v>
      </c>
    </row>
    <row r="1188" spans="1:8" x14ac:dyDescent="0.2">
      <c r="A1188" s="6">
        <v>1187</v>
      </c>
      <c r="B1188" s="1" t="s">
        <v>15</v>
      </c>
      <c r="C1188" s="1" t="s">
        <v>83</v>
      </c>
      <c r="D1188" s="4">
        <v>0</v>
      </c>
      <c r="E1188" s="4">
        <v>2123.8000000000002</v>
      </c>
      <c r="F1188" s="4">
        <v>2123.8000000000002</v>
      </c>
      <c r="H1188" s="68">
        <f t="shared" si="18"/>
        <v>1</v>
      </c>
    </row>
    <row r="1189" spans="1:8" x14ac:dyDescent="0.2">
      <c r="A1189" s="6">
        <v>1188</v>
      </c>
      <c r="B1189" s="1" t="s">
        <v>15</v>
      </c>
      <c r="C1189" s="1" t="s">
        <v>84</v>
      </c>
      <c r="D1189" s="4">
        <v>0</v>
      </c>
      <c r="E1189" s="4">
        <v>1049.3</v>
      </c>
      <c r="F1189" s="4">
        <v>1049.3</v>
      </c>
      <c r="H1189" s="68">
        <f t="shared" si="18"/>
        <v>1</v>
      </c>
    </row>
    <row r="1190" spans="1:8" x14ac:dyDescent="0.2">
      <c r="A1190" s="6">
        <v>1189</v>
      </c>
      <c r="B1190" s="1" t="s">
        <v>15</v>
      </c>
      <c r="C1190" s="1" t="s">
        <v>85</v>
      </c>
      <c r="D1190" s="4">
        <v>0</v>
      </c>
      <c r="E1190" s="4">
        <v>0</v>
      </c>
      <c r="F1190" s="4">
        <v>0</v>
      </c>
      <c r="H1190" s="68">
        <f t="shared" si="18"/>
        <v>0</v>
      </c>
    </row>
    <row r="1191" spans="1:8" x14ac:dyDescent="0.2">
      <c r="A1191" s="7">
        <v>1190</v>
      </c>
      <c r="B1191" s="8" t="s">
        <v>15</v>
      </c>
      <c r="C1191" s="8" t="s">
        <v>86</v>
      </c>
      <c r="D1191" s="9">
        <v>0</v>
      </c>
      <c r="E1191" s="9">
        <v>22187.999999999996</v>
      </c>
      <c r="F1191" s="9">
        <v>22187.999999999996</v>
      </c>
      <c r="H1191" s="68">
        <f t="shared" si="18"/>
        <v>1</v>
      </c>
    </row>
    <row r="1192" spans="1:8" x14ac:dyDescent="0.2">
      <c r="A1192" s="6">
        <v>1191</v>
      </c>
      <c r="B1192" s="1" t="s">
        <v>15</v>
      </c>
      <c r="C1192" s="1" t="s">
        <v>33</v>
      </c>
      <c r="D1192" s="4">
        <v>0</v>
      </c>
      <c r="E1192" s="4">
        <v>0.23138265422642504</v>
      </c>
      <c r="F1192" s="4">
        <v>0.10772107872552387</v>
      </c>
      <c r="H1192" s="68">
        <f t="shared" si="18"/>
        <v>2.147979364521535</v>
      </c>
    </row>
    <row r="1193" spans="1:8" x14ac:dyDescent="0.2">
      <c r="A1193" s="6">
        <v>1192</v>
      </c>
      <c r="B1193" s="1" t="s">
        <v>15</v>
      </c>
      <c r="C1193" s="1" t="s">
        <v>87</v>
      </c>
      <c r="D1193" s="4">
        <v>0</v>
      </c>
      <c r="E1193" s="4">
        <v>31.4</v>
      </c>
      <c r="F1193" s="4">
        <v>31.4</v>
      </c>
      <c r="H1193" s="68">
        <f t="shared" si="18"/>
        <v>1</v>
      </c>
    </row>
    <row r="1194" spans="1:8" x14ac:dyDescent="0.2">
      <c r="A1194" s="6">
        <v>1193</v>
      </c>
      <c r="B1194" s="1" t="s">
        <v>15</v>
      </c>
      <c r="C1194" s="1" t="s">
        <v>88</v>
      </c>
      <c r="D1194" s="4">
        <v>0</v>
      </c>
      <c r="E1194" s="4">
        <v>0</v>
      </c>
      <c r="F1194" s="4">
        <v>0</v>
      </c>
      <c r="H1194" s="68">
        <f t="shared" si="18"/>
        <v>0</v>
      </c>
    </row>
    <row r="1195" spans="1:8" x14ac:dyDescent="0.2">
      <c r="A1195" s="7">
        <v>1194</v>
      </c>
      <c r="B1195" s="8" t="s">
        <v>15</v>
      </c>
      <c r="C1195" s="8" t="s">
        <v>89</v>
      </c>
      <c r="D1195" s="9">
        <v>0</v>
      </c>
      <c r="E1195" s="9">
        <v>31.4</v>
      </c>
      <c r="F1195" s="9">
        <v>31.4</v>
      </c>
      <c r="H1195" s="68">
        <f t="shared" si="18"/>
        <v>1</v>
      </c>
    </row>
    <row r="1196" spans="1:8" x14ac:dyDescent="0.2">
      <c r="A1196" s="6">
        <v>1195</v>
      </c>
      <c r="B1196" s="1" t="s">
        <v>15</v>
      </c>
      <c r="C1196" s="1" t="s">
        <v>33</v>
      </c>
      <c r="D1196" s="4">
        <v>0</v>
      </c>
      <c r="E1196" s="4">
        <v>3.27447960280771E-4</v>
      </c>
      <c r="F1196" s="4">
        <v>1.5244464899862313E-4</v>
      </c>
      <c r="H1196" s="68">
        <f t="shared" si="18"/>
        <v>2.147979364521535</v>
      </c>
    </row>
    <row r="1197" spans="1:8" x14ac:dyDescent="0.2">
      <c r="A1197" s="6">
        <v>1196</v>
      </c>
      <c r="B1197" s="1" t="s">
        <v>15</v>
      </c>
      <c r="C1197" s="1" t="s">
        <v>90</v>
      </c>
      <c r="D1197" s="4">
        <v>1944.8</v>
      </c>
      <c r="E1197" s="4">
        <v>1041.9000000000001</v>
      </c>
      <c r="F1197" s="4">
        <v>2986.7</v>
      </c>
      <c r="H1197" s="68">
        <f t="shared" si="18"/>
        <v>0.3488465530518633</v>
      </c>
    </row>
    <row r="1198" spans="1:8" x14ac:dyDescent="0.2">
      <c r="A1198" s="6">
        <v>1197</v>
      </c>
      <c r="B1198" s="1" t="s">
        <v>15</v>
      </c>
      <c r="C1198" s="1" t="s">
        <v>33</v>
      </c>
      <c r="D1198" s="4">
        <v>1.7666621549317651E-2</v>
      </c>
      <c r="E1198" s="4">
        <v>1.0865223879507495E-2</v>
      </c>
      <c r="F1198" s="4">
        <v>1.4500204877840374E-2</v>
      </c>
      <c r="H1198" s="68">
        <f t="shared" si="18"/>
        <v>0.74931519733986929</v>
      </c>
    </row>
    <row r="1199" spans="1:8" x14ac:dyDescent="0.2">
      <c r="A1199" s="6">
        <v>1198</v>
      </c>
      <c r="B1199" s="1" t="s">
        <v>15</v>
      </c>
      <c r="C1199" s="1" t="s">
        <v>91</v>
      </c>
      <c r="D1199" s="4">
        <v>1040.5999999999999</v>
      </c>
      <c r="E1199" s="4">
        <v>229.2</v>
      </c>
      <c r="F1199" s="4">
        <v>1269.8</v>
      </c>
      <c r="H1199" s="68">
        <f t="shared" si="18"/>
        <v>0.18050086627815404</v>
      </c>
    </row>
    <row r="1200" spans="1:8" x14ac:dyDescent="0.2">
      <c r="A1200" s="6">
        <v>1199</v>
      </c>
      <c r="B1200" s="1" t="s">
        <v>15</v>
      </c>
      <c r="C1200" s="1" t="s">
        <v>33</v>
      </c>
      <c r="D1200" s="4">
        <v>9.4528416208453023E-3</v>
      </c>
      <c r="E1200" s="4">
        <v>2.3901615444698317E-3</v>
      </c>
      <c r="F1200" s="4">
        <v>6.1647839267022827E-3</v>
      </c>
      <c r="H1200" s="68">
        <f t="shared" si="18"/>
        <v>0.38771213604373589</v>
      </c>
    </row>
    <row r="1201" spans="1:8" x14ac:dyDescent="0.2">
      <c r="A1201" s="10">
        <v>1200</v>
      </c>
      <c r="B1201" s="11" t="s">
        <v>15</v>
      </c>
      <c r="C1201" s="11" t="s">
        <v>2</v>
      </c>
      <c r="D1201" s="12">
        <v>110083.30000000002</v>
      </c>
      <c r="E1201" s="12">
        <v>95893.099999999991</v>
      </c>
      <c r="F1201" s="12">
        <v>205976.4</v>
      </c>
      <c r="H1201" s="68">
        <f t="shared" si="18"/>
        <v>0.46555382072897666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B2BE-8761-E243-8680-C25168561FDA}">
  <dimension ref="A3:D20"/>
  <sheetViews>
    <sheetView topLeftCell="A3" workbookViewId="0">
      <selection activeCell="J30" sqref="J30"/>
    </sheetView>
  </sheetViews>
  <sheetFormatPr baseColWidth="10" defaultRowHeight="15" x14ac:dyDescent="0.2"/>
  <cols>
    <col min="1" max="1" width="37.1640625" bestFit="1" customWidth="1"/>
    <col min="2" max="2" width="17" bestFit="1" customWidth="1"/>
    <col min="3" max="3" width="17.5" bestFit="1" customWidth="1"/>
  </cols>
  <sheetData>
    <row r="3" spans="1:4" x14ac:dyDescent="0.2">
      <c r="A3" s="14" t="s">
        <v>108</v>
      </c>
      <c r="B3" t="s">
        <v>110</v>
      </c>
      <c r="C3" t="s">
        <v>111</v>
      </c>
    </row>
    <row r="4" spans="1:4" x14ac:dyDescent="0.2">
      <c r="A4" s="15" t="s">
        <v>4</v>
      </c>
      <c r="B4">
        <v>180585.90000000002</v>
      </c>
      <c r="C4">
        <v>78266.3</v>
      </c>
      <c r="D4" s="16">
        <f>C4/(C4+B4)</f>
        <v>0.30235902959294919</v>
      </c>
    </row>
    <row r="5" spans="1:4" x14ac:dyDescent="0.2">
      <c r="A5" s="15" t="s">
        <v>5</v>
      </c>
      <c r="B5">
        <v>237928.8183199999</v>
      </c>
      <c r="C5">
        <v>222951.22845</v>
      </c>
      <c r="D5" s="16">
        <f t="shared" ref="D5:D18" si="0">C5/(C5+B5)</f>
        <v>0.48375109751987766</v>
      </c>
    </row>
    <row r="6" spans="1:4" x14ac:dyDescent="0.2">
      <c r="A6" s="15" t="s">
        <v>6</v>
      </c>
      <c r="B6">
        <v>170679.71643999996</v>
      </c>
      <c r="C6">
        <v>148503.83821000002</v>
      </c>
      <c r="D6" s="16">
        <f t="shared" si="0"/>
        <v>0.46526155889466669</v>
      </c>
    </row>
    <row r="7" spans="1:4" x14ac:dyDescent="0.2">
      <c r="A7" s="15" t="s">
        <v>7</v>
      </c>
      <c r="B7">
        <v>831309.90000000014</v>
      </c>
      <c r="C7">
        <v>770951.39999999991</v>
      </c>
      <c r="D7" s="16">
        <f t="shared" si="0"/>
        <v>0.4811645890717075</v>
      </c>
    </row>
    <row r="8" spans="1:4" x14ac:dyDescent="0.2">
      <c r="A8" s="15" t="s">
        <v>8</v>
      </c>
      <c r="B8">
        <v>261422.79456000004</v>
      </c>
      <c r="C8">
        <v>202246.61244999996</v>
      </c>
      <c r="D8" s="16">
        <f t="shared" si="0"/>
        <v>0.43618709665189986</v>
      </c>
    </row>
    <row r="9" spans="1:4" x14ac:dyDescent="0.2">
      <c r="A9" s="15" t="s">
        <v>9</v>
      </c>
      <c r="B9">
        <v>743059.3</v>
      </c>
      <c r="C9">
        <v>526106.59999999986</v>
      </c>
      <c r="D9" s="16">
        <f t="shared" si="0"/>
        <v>0.41452941652466385</v>
      </c>
    </row>
    <row r="10" spans="1:4" x14ac:dyDescent="0.2">
      <c r="A10" s="15" t="s">
        <v>10</v>
      </c>
      <c r="B10">
        <v>511304.79999999981</v>
      </c>
      <c r="C10">
        <v>531503.4</v>
      </c>
      <c r="D10" s="16">
        <f t="shared" si="0"/>
        <v>0.50968471479223132</v>
      </c>
    </row>
    <row r="11" spans="1:4" x14ac:dyDescent="0.2">
      <c r="A11" s="15" t="s">
        <v>11</v>
      </c>
      <c r="B11">
        <v>508478.6</v>
      </c>
      <c r="C11">
        <v>501503.70000000007</v>
      </c>
      <c r="D11" s="16">
        <f t="shared" si="0"/>
        <v>0.49654701869527818</v>
      </c>
    </row>
    <row r="12" spans="1:4" x14ac:dyDescent="0.2">
      <c r="A12" s="15" t="s">
        <v>92</v>
      </c>
      <c r="B12">
        <v>161063.10000000003</v>
      </c>
      <c r="C12">
        <v>569106.89999999991</v>
      </c>
      <c r="D12" s="16">
        <f t="shared" si="0"/>
        <v>0.77941698508566482</v>
      </c>
    </row>
    <row r="13" spans="1:4" x14ac:dyDescent="0.2">
      <c r="A13" s="15" t="s">
        <v>93</v>
      </c>
      <c r="B13">
        <v>6101.7920000000004</v>
      </c>
      <c r="C13">
        <v>4517.7519999999995</v>
      </c>
      <c r="D13" s="16">
        <f t="shared" si="0"/>
        <v>0.42541864321104556</v>
      </c>
    </row>
    <row r="14" spans="1:4" x14ac:dyDescent="0.2">
      <c r="A14" s="15" t="s">
        <v>12</v>
      </c>
      <c r="B14">
        <v>2070094.44</v>
      </c>
      <c r="C14">
        <v>6575286.5999999996</v>
      </c>
      <c r="D14" s="16">
        <f t="shared" si="0"/>
        <v>0.76055486387214233</v>
      </c>
    </row>
    <row r="15" spans="1:4" x14ac:dyDescent="0.2">
      <c r="A15" s="15" t="s">
        <v>13</v>
      </c>
      <c r="B15">
        <v>173136.9</v>
      </c>
      <c r="C15">
        <v>123838.09999999999</v>
      </c>
      <c r="D15" s="16">
        <f t="shared" si="0"/>
        <v>0.41699840053876586</v>
      </c>
    </row>
    <row r="16" spans="1:4" x14ac:dyDescent="0.2">
      <c r="A16" s="15" t="s">
        <v>14</v>
      </c>
      <c r="B16">
        <v>3331709.6999999993</v>
      </c>
      <c r="C16">
        <v>4001422.5999999987</v>
      </c>
      <c r="D16" s="16">
        <f t="shared" si="0"/>
        <v>0.5456634949842647</v>
      </c>
    </row>
    <row r="17" spans="1:4" x14ac:dyDescent="0.2">
      <c r="A17" s="15" t="s">
        <v>94</v>
      </c>
      <c r="B17">
        <v>313691.09999999998</v>
      </c>
      <c r="C17">
        <v>568567.69999999995</v>
      </c>
      <c r="D17" s="16">
        <f t="shared" si="0"/>
        <v>0.64444548470358132</v>
      </c>
    </row>
    <row r="18" spans="1:4" x14ac:dyDescent="0.2">
      <c r="A18" s="15" t="s">
        <v>15</v>
      </c>
      <c r="B18">
        <v>327265.50000000006</v>
      </c>
      <c r="C18">
        <v>286409.19999999995</v>
      </c>
      <c r="D18" s="16">
        <f t="shared" si="0"/>
        <v>0.4667117611333822</v>
      </c>
    </row>
    <row r="19" spans="1:4" x14ac:dyDescent="0.2">
      <c r="A19" s="15" t="s">
        <v>109</v>
      </c>
    </row>
    <row r="20" spans="1:4" x14ac:dyDescent="0.2">
      <c r="A20" s="15" t="s">
        <v>16</v>
      </c>
      <c r="B20">
        <v>9827832.3613199983</v>
      </c>
      <c r="C20">
        <v>15111181.931109995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9C76-013F-2B4B-B175-8CB6CE7D57B6}">
  <sheetPr>
    <tabColor theme="9"/>
  </sheetPr>
  <dimension ref="B2:O27"/>
  <sheetViews>
    <sheetView showGridLines="0" zoomScale="150" zoomScaleNormal="150" workbookViewId="0">
      <selection activeCell="B2" sqref="B2:K2"/>
    </sheetView>
  </sheetViews>
  <sheetFormatPr baseColWidth="10" defaultRowHeight="15" x14ac:dyDescent="0.2"/>
  <cols>
    <col min="1" max="1" width="5" customWidth="1"/>
    <col min="2" max="2" width="33.5" bestFit="1" customWidth="1"/>
    <col min="3" max="3" width="21.1640625" customWidth="1"/>
    <col min="4" max="4" width="4.6640625" customWidth="1"/>
    <col min="5" max="5" width="17.1640625" bestFit="1" customWidth="1"/>
    <col min="6" max="6" width="5.1640625" customWidth="1"/>
    <col min="7" max="7" width="15.5" customWidth="1"/>
    <col min="8" max="8" width="4.83203125" customWidth="1"/>
    <col min="9" max="9" width="15.6640625" customWidth="1"/>
    <col min="10" max="10" width="4" customWidth="1"/>
    <col min="11" max="11" width="14.83203125" customWidth="1"/>
    <col min="12" max="12" width="3.83203125" customWidth="1"/>
    <col min="13" max="14" width="17.6640625" customWidth="1"/>
    <col min="15" max="15" width="16.6640625" customWidth="1"/>
    <col min="16" max="16" width="14.83203125" customWidth="1"/>
    <col min="17" max="17" width="16.1640625" customWidth="1"/>
    <col min="18" max="18" width="14.5" customWidth="1"/>
  </cols>
  <sheetData>
    <row r="2" spans="2:15" ht="19" x14ac:dyDescent="0.25">
      <c r="B2" s="280" t="s">
        <v>159</v>
      </c>
      <c r="C2" s="280"/>
      <c r="D2" s="280"/>
      <c r="E2" s="280"/>
      <c r="F2" s="280"/>
      <c r="G2" s="280"/>
      <c r="H2" s="280"/>
      <c r="I2" s="280"/>
      <c r="J2" s="280"/>
      <c r="K2" s="280"/>
    </row>
    <row r="3" spans="2:15" ht="15" customHeight="1" x14ac:dyDescent="0.2">
      <c r="E3" s="19"/>
      <c r="M3" s="284"/>
      <c r="N3" s="284"/>
      <c r="O3" s="284"/>
    </row>
    <row r="4" spans="2:15" ht="32" customHeight="1" x14ac:dyDescent="0.2">
      <c r="B4" s="113" t="s">
        <v>95</v>
      </c>
      <c r="C4" s="109" t="s">
        <v>273</v>
      </c>
      <c r="D4" s="114"/>
      <c r="E4" s="109" t="s">
        <v>271</v>
      </c>
      <c r="F4" s="114"/>
      <c r="G4" s="183" t="s">
        <v>159</v>
      </c>
      <c r="H4" s="114"/>
      <c r="I4" s="237" t="s">
        <v>293</v>
      </c>
      <c r="J4" s="114"/>
      <c r="K4" s="110" t="s">
        <v>428</v>
      </c>
      <c r="M4" s="281" t="s">
        <v>436</v>
      </c>
      <c r="N4" s="281"/>
    </row>
    <row r="5" spans="2:15" ht="15" customHeight="1" x14ac:dyDescent="0.2">
      <c r="B5" s="209" t="s">
        <v>355</v>
      </c>
      <c r="C5" s="19">
        <f>I14</f>
        <v>110711539.30891854</v>
      </c>
      <c r="D5" s="285"/>
      <c r="E5" s="19">
        <f>I23</f>
        <v>54990106.047243804</v>
      </c>
      <c r="F5" s="282"/>
      <c r="G5" s="43">
        <f>C5-E5</f>
        <v>55721433.261674732</v>
      </c>
      <c r="I5" s="19">
        <f>G5/C14</f>
        <v>12382.540724816607</v>
      </c>
      <c r="K5" s="252">
        <f t="shared" ref="K5:K9" si="0">G5/C5</f>
        <v>0.50330284999646835</v>
      </c>
      <c r="M5" s="281"/>
      <c r="N5" s="281"/>
      <c r="O5" s="19"/>
    </row>
    <row r="6" spans="2:15" ht="15" customHeight="1" x14ac:dyDescent="0.2">
      <c r="B6" s="209" t="s">
        <v>356</v>
      </c>
      <c r="C6" s="19">
        <f>I15</f>
        <v>393112468.5816353</v>
      </c>
      <c r="D6" s="285"/>
      <c r="E6" s="19">
        <f>I24</f>
        <v>194070311.04631293</v>
      </c>
      <c r="F6" s="282"/>
      <c r="G6" s="43">
        <f t="shared" ref="G6:G9" si="1">C6-E6</f>
        <v>199042157.53532237</v>
      </c>
      <c r="I6" s="19">
        <f>G6/C15</f>
        <v>11057.897640851243</v>
      </c>
      <c r="K6" s="252">
        <f t="shared" si="0"/>
        <v>0.50632369472653471</v>
      </c>
      <c r="M6" s="281"/>
      <c r="N6" s="281"/>
      <c r="O6" s="19"/>
    </row>
    <row r="7" spans="2:15" ht="15" customHeight="1" x14ac:dyDescent="0.2">
      <c r="B7" s="209" t="s">
        <v>357</v>
      </c>
      <c r="C7" s="19">
        <f>I16</f>
        <v>175917400.14427912</v>
      </c>
      <c r="D7" s="285"/>
      <c r="E7" s="19">
        <f>I25</f>
        <v>67259838.667693526</v>
      </c>
      <c r="F7" s="282"/>
      <c r="G7" s="43">
        <f t="shared" si="1"/>
        <v>108657561.4765856</v>
      </c>
      <c r="I7" s="19">
        <f>G7/C16</f>
        <v>15522.50878236937</v>
      </c>
      <c r="K7" s="252">
        <f t="shared" si="0"/>
        <v>0.61766238807229878</v>
      </c>
      <c r="M7" s="281"/>
      <c r="N7" s="281"/>
      <c r="O7" s="19"/>
    </row>
    <row r="8" spans="2:15" ht="15" customHeight="1" x14ac:dyDescent="0.2">
      <c r="B8" s="209" t="s">
        <v>358</v>
      </c>
      <c r="C8" s="19">
        <f>I17</f>
        <v>322269217.57974416</v>
      </c>
      <c r="D8" s="285"/>
      <c r="E8" s="19">
        <f>I26</f>
        <v>191767629.11426297</v>
      </c>
      <c r="F8" s="282"/>
      <c r="G8" s="43">
        <f t="shared" si="1"/>
        <v>130501588.46548119</v>
      </c>
      <c r="I8" s="19">
        <f>G8/C17</f>
        <v>10038.583728113937</v>
      </c>
      <c r="K8" s="252">
        <f t="shared" si="0"/>
        <v>0.40494586931247667</v>
      </c>
      <c r="M8" s="281"/>
      <c r="N8" s="281"/>
      <c r="O8" s="19"/>
    </row>
    <row r="9" spans="2:15" ht="15" customHeight="1" x14ac:dyDescent="0.2">
      <c r="B9" s="262" t="s">
        <v>376</v>
      </c>
      <c r="C9" s="62">
        <f>I18</f>
        <v>191458426.10852695</v>
      </c>
      <c r="D9" s="286"/>
      <c r="E9" s="62">
        <f>I27</f>
        <v>103112901.48831221</v>
      </c>
      <c r="F9" s="283"/>
      <c r="G9" s="70">
        <f t="shared" si="1"/>
        <v>88345524.620214731</v>
      </c>
      <c r="H9" s="52"/>
      <c r="I9" s="62">
        <f>G9/C18</f>
        <v>11043.190577526841</v>
      </c>
      <c r="J9" s="52"/>
      <c r="K9" s="263">
        <f t="shared" si="0"/>
        <v>0.46143450782436002</v>
      </c>
      <c r="M9" s="281"/>
      <c r="N9" s="281"/>
      <c r="O9" s="19"/>
    </row>
    <row r="10" spans="2:15" ht="15" customHeight="1" x14ac:dyDescent="0.2">
      <c r="B10" s="261"/>
      <c r="C10" s="258"/>
      <c r="D10" s="257"/>
      <c r="E10" s="24"/>
      <c r="F10" s="238"/>
      <c r="G10" s="24"/>
      <c r="I10" s="24"/>
      <c r="K10" s="250"/>
      <c r="M10" s="19"/>
      <c r="N10" s="19"/>
      <c r="O10" s="19"/>
    </row>
    <row r="11" spans="2:15" ht="19" x14ac:dyDescent="0.25">
      <c r="B11" s="280" t="s">
        <v>247</v>
      </c>
      <c r="C11" s="280"/>
      <c r="D11" s="280"/>
      <c r="E11" s="280"/>
      <c r="F11" s="280"/>
      <c r="G11" s="280"/>
      <c r="H11" s="280"/>
      <c r="I11" s="280"/>
      <c r="J11" s="280"/>
      <c r="K11" s="280"/>
      <c r="L11" s="103"/>
    </row>
    <row r="12" spans="2:15" ht="15" customHeight="1" x14ac:dyDescent="0.2"/>
    <row r="13" spans="2:15" ht="32" x14ac:dyDescent="0.2">
      <c r="B13" s="113" t="s">
        <v>95</v>
      </c>
      <c r="C13" s="109" t="s">
        <v>374</v>
      </c>
      <c r="D13" s="114"/>
      <c r="E13" s="109" t="s">
        <v>275</v>
      </c>
      <c r="F13" s="114"/>
      <c r="G13" s="109" t="s">
        <v>245</v>
      </c>
      <c r="H13" s="114"/>
      <c r="I13" s="183" t="s">
        <v>246</v>
      </c>
      <c r="J13" s="114"/>
      <c r="K13" s="110" t="s">
        <v>337</v>
      </c>
    </row>
    <row r="14" spans="2:15" ht="15" customHeight="1" x14ac:dyDescent="0.2">
      <c r="B14" s="209" t="s">
        <v>355</v>
      </c>
      <c r="C14" s="18">
        <f>'Expend, FTE, Headcount, Sq Ft'!E49</f>
        <v>4500</v>
      </c>
      <c r="E14" s="19">
        <f>'Institutional Base Calc'!Y5</f>
        <v>84033723.061732501</v>
      </c>
      <c r="F14" s="282"/>
      <c r="G14" s="19">
        <f>'Instituional Equity Calc'!AF5</f>
        <v>26677816.247186039</v>
      </c>
      <c r="H14" s="282"/>
      <c r="I14" s="43">
        <f>G14+E14</f>
        <v>110711539.30891854</v>
      </c>
      <c r="K14" s="111">
        <f t="shared" ref="K14:K18" si="2">I14/C14</f>
        <v>24602.564290870785</v>
      </c>
    </row>
    <row r="15" spans="2:15" ht="15" customHeight="1" x14ac:dyDescent="0.2">
      <c r="B15" s="209" t="s">
        <v>356</v>
      </c>
      <c r="C15" s="18">
        <f>'Expend, FTE, Headcount, Sq Ft'!E50</f>
        <v>18000</v>
      </c>
      <c r="E15" s="19">
        <f>'Institutional Base Calc'!Y6</f>
        <v>333320935.38022691</v>
      </c>
      <c r="F15" s="282"/>
      <c r="G15" s="19">
        <f>'Instituional Equity Calc'!AF6</f>
        <v>59791533.201408379</v>
      </c>
      <c r="H15" s="282"/>
      <c r="I15" s="43">
        <f t="shared" ref="I15:I18" si="3">G15+E15</f>
        <v>393112468.5816353</v>
      </c>
      <c r="K15" s="111">
        <f t="shared" si="2"/>
        <v>21839.581587868626</v>
      </c>
    </row>
    <row r="16" spans="2:15" ht="15" customHeight="1" x14ac:dyDescent="0.2">
      <c r="B16" s="209" t="s">
        <v>357</v>
      </c>
      <c r="C16" s="18">
        <f>'Expend, FTE, Headcount, Sq Ft'!E51</f>
        <v>7000</v>
      </c>
      <c r="E16" s="19">
        <f>'Institutional Base Calc'!Y7</f>
        <v>129824015.99922886</v>
      </c>
      <c r="F16" s="282"/>
      <c r="G16" s="19">
        <f>'Instituional Equity Calc'!AF7</f>
        <v>46093384.145050265</v>
      </c>
      <c r="H16" s="282"/>
      <c r="I16" s="43">
        <f t="shared" si="3"/>
        <v>175917400.14427912</v>
      </c>
      <c r="K16" s="111">
        <f t="shared" si="2"/>
        <v>25131.057163468446</v>
      </c>
    </row>
    <row r="17" spans="2:14" ht="15" customHeight="1" x14ac:dyDescent="0.2">
      <c r="B17" s="209" t="s">
        <v>358</v>
      </c>
      <c r="C17" s="18">
        <f>'Expend, FTE, Headcount, Sq Ft'!E52</f>
        <v>13000</v>
      </c>
      <c r="E17" s="19">
        <f>'Institutional Base Calc'!Y8</f>
        <v>255678866.32858384</v>
      </c>
      <c r="F17" s="282"/>
      <c r="G17" s="19">
        <f>'Instituional Equity Calc'!AF8</f>
        <v>66590351.251160309</v>
      </c>
      <c r="H17" s="282"/>
      <c r="I17" s="43">
        <f t="shared" si="3"/>
        <v>322269217.57974416</v>
      </c>
      <c r="K17" s="111">
        <f t="shared" si="2"/>
        <v>24789.939813826473</v>
      </c>
    </row>
    <row r="18" spans="2:14" ht="15" customHeight="1" x14ac:dyDescent="0.2">
      <c r="B18" s="262" t="s">
        <v>376</v>
      </c>
      <c r="C18" s="264">
        <f>'Expend, FTE, Headcount, Sq Ft'!E53</f>
        <v>8000</v>
      </c>
      <c r="D18" s="52"/>
      <c r="E18" s="62">
        <f>'Institutional Base Calc'!Y9</f>
        <v>145960445.36800438</v>
      </c>
      <c r="F18" s="283"/>
      <c r="G18" s="62">
        <f>'Instituional Equity Calc'!AF9</f>
        <v>45497980.740522556</v>
      </c>
      <c r="H18" s="283"/>
      <c r="I18" s="70">
        <f t="shared" si="3"/>
        <v>191458426.10852695</v>
      </c>
      <c r="J18" s="52"/>
      <c r="K18" s="265">
        <f t="shared" si="2"/>
        <v>23932.303263565867</v>
      </c>
    </row>
    <row r="19" spans="2:14" ht="10" customHeight="1" x14ac:dyDescent="0.2">
      <c r="B19" s="256"/>
      <c r="C19" s="16"/>
      <c r="D19" s="16"/>
      <c r="E19" s="259"/>
      <c r="F19" s="260"/>
      <c r="G19" s="259"/>
      <c r="H19" s="253"/>
      <c r="I19" s="259"/>
      <c r="K19" s="254"/>
    </row>
    <row r="20" spans="2:14" ht="19" x14ac:dyDescent="0.25">
      <c r="B20" s="280" t="s">
        <v>333</v>
      </c>
      <c r="C20" s="280"/>
      <c r="D20" s="280"/>
      <c r="E20" s="280"/>
      <c r="F20" s="280"/>
      <c r="G20" s="280"/>
      <c r="H20" s="280"/>
      <c r="I20" s="280"/>
      <c r="J20" s="280"/>
      <c r="K20" s="280"/>
    </row>
    <row r="21" spans="2:14" ht="15" customHeight="1" x14ac:dyDescent="0.2"/>
    <row r="22" spans="2:14" ht="32" x14ac:dyDescent="0.2">
      <c r="B22" s="113" t="s">
        <v>95</v>
      </c>
      <c r="C22" s="109" t="s">
        <v>274</v>
      </c>
      <c r="D22" s="145"/>
      <c r="E22" s="109" t="s">
        <v>375</v>
      </c>
      <c r="F22" s="145"/>
      <c r="G22" s="236" t="s">
        <v>331</v>
      </c>
      <c r="H22" s="114"/>
      <c r="I22" s="183" t="s">
        <v>332</v>
      </c>
      <c r="J22" s="114"/>
      <c r="K22" s="110" t="s">
        <v>338</v>
      </c>
      <c r="M22" s="281" t="s">
        <v>446</v>
      </c>
      <c r="N22" s="281"/>
    </row>
    <row r="23" spans="2:14" ht="15" customHeight="1" x14ac:dyDescent="0.2">
      <c r="B23" s="209" t="s">
        <v>355</v>
      </c>
      <c r="C23" s="19">
        <f>'Expend, FTE, Headcount, Sq Ft'!B58</f>
        <v>25000000</v>
      </c>
      <c r="D23" s="282"/>
      <c r="E23" s="19">
        <f>'ESS Calculation'!T4</f>
        <v>29990106.0472438</v>
      </c>
      <c r="F23" s="282"/>
      <c r="G23" s="266" t="s">
        <v>17</v>
      </c>
      <c r="H23" s="282"/>
      <c r="I23" s="43">
        <f>E23+C23</f>
        <v>54990106.047243804</v>
      </c>
      <c r="K23" s="111">
        <f>I23/C14</f>
        <v>12220.023566054178</v>
      </c>
      <c r="M23" s="281"/>
      <c r="N23" s="281"/>
    </row>
    <row r="24" spans="2:14" ht="15" customHeight="1" x14ac:dyDescent="0.2">
      <c r="B24" s="209" t="s">
        <v>356</v>
      </c>
      <c r="C24" s="19">
        <f>'Expend, FTE, Headcount, Sq Ft'!B59</f>
        <v>75000000</v>
      </c>
      <c r="D24" s="282"/>
      <c r="E24" s="19">
        <f>'ESS Calculation'!T5</f>
        <v>119070311.04631294</v>
      </c>
      <c r="F24" s="282"/>
      <c r="G24" s="266" t="s">
        <v>17</v>
      </c>
      <c r="H24" s="282"/>
      <c r="I24" s="43">
        <f t="shared" ref="I24:I27" si="4">E24+C24</f>
        <v>194070311.04631293</v>
      </c>
      <c r="K24" s="111">
        <f>I24/C15</f>
        <v>10781.683947017385</v>
      </c>
      <c r="M24" s="281"/>
      <c r="N24" s="281"/>
    </row>
    <row r="25" spans="2:14" ht="15" customHeight="1" x14ac:dyDescent="0.2">
      <c r="B25" s="209" t="s">
        <v>357</v>
      </c>
      <c r="C25" s="19">
        <f>'Expend, FTE, Headcount, Sq Ft'!B60</f>
        <v>35000000</v>
      </c>
      <c r="D25" s="282"/>
      <c r="E25" s="19">
        <f>'ESS Calculation'!T6</f>
        <v>32259838.667693518</v>
      </c>
      <c r="F25" s="282"/>
      <c r="G25" s="266" t="s">
        <v>17</v>
      </c>
      <c r="H25" s="282"/>
      <c r="I25" s="43">
        <f t="shared" si="4"/>
        <v>67259838.667693526</v>
      </c>
      <c r="K25" s="111">
        <f>I25/C16</f>
        <v>9608.5483810990754</v>
      </c>
    </row>
    <row r="26" spans="2:14" ht="15" customHeight="1" x14ac:dyDescent="0.2">
      <c r="B26" s="209" t="s">
        <v>358</v>
      </c>
      <c r="C26" s="19">
        <f>'Expend, FTE, Headcount, Sq Ft'!B61</f>
        <v>100000000</v>
      </c>
      <c r="D26" s="282"/>
      <c r="E26" s="19">
        <f>'ESS Calculation'!T7</f>
        <v>91767629.114262968</v>
      </c>
      <c r="F26" s="282"/>
      <c r="G26" s="266" t="s">
        <v>17</v>
      </c>
      <c r="H26" s="282"/>
      <c r="I26" s="43">
        <f t="shared" si="4"/>
        <v>191767629.11426297</v>
      </c>
      <c r="K26" s="111">
        <f>I26/C17</f>
        <v>14751.356085712536</v>
      </c>
    </row>
    <row r="27" spans="2:14" ht="15" customHeight="1" x14ac:dyDescent="0.2">
      <c r="B27" s="262" t="s">
        <v>376</v>
      </c>
      <c r="C27" s="62">
        <f>'Expend, FTE, Headcount, Sq Ft'!B62</f>
        <v>50000000</v>
      </c>
      <c r="D27" s="283"/>
      <c r="E27" s="62">
        <f>'ESS Calculation'!T8</f>
        <v>53112901.488312207</v>
      </c>
      <c r="F27" s="283"/>
      <c r="G27" s="267" t="s">
        <v>17</v>
      </c>
      <c r="H27" s="283"/>
      <c r="I27" s="70">
        <f t="shared" si="4"/>
        <v>103112901.48831221</v>
      </c>
      <c r="J27" s="52"/>
      <c r="K27" s="265">
        <f>I27/C18</f>
        <v>12889.112686039027</v>
      </c>
    </row>
  </sheetData>
  <sheetProtection algorithmName="SHA-512" hashValue="aNgxzxHxUL1Vbuox0hwWc7SpeeCXRA6iJ3a5AzuFyYkHYyQLqUKamNGNzGEVBOuQqLEwychgMiT/7TST2fhUkw==" saltValue="VCsdxXoO3IvLIHZoavhFrw==" spinCount="100000" sheet="1" objects="1" scenarios="1"/>
  <mergeCells count="13">
    <mergeCell ref="B2:K2"/>
    <mergeCell ref="M4:N9"/>
    <mergeCell ref="M22:N24"/>
    <mergeCell ref="F14:F18"/>
    <mergeCell ref="H14:H18"/>
    <mergeCell ref="B11:K11"/>
    <mergeCell ref="B20:K20"/>
    <mergeCell ref="D23:D27"/>
    <mergeCell ref="M3:O3"/>
    <mergeCell ref="F23:F27"/>
    <mergeCell ref="D5:D9"/>
    <mergeCell ref="F5:F9"/>
    <mergeCell ref="H23:H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C705E-75A5-C047-BE60-BB7961B3B597}">
  <sheetPr>
    <tabColor theme="9"/>
  </sheetPr>
  <dimension ref="A1:AC17"/>
  <sheetViews>
    <sheetView zoomScale="140" zoomScaleNormal="140" workbookViewId="0">
      <selection activeCell="B1" sqref="B1"/>
    </sheetView>
  </sheetViews>
  <sheetFormatPr baseColWidth="10" defaultRowHeight="15" x14ac:dyDescent="0.2"/>
  <cols>
    <col min="1" max="1" width="4.5" customWidth="1"/>
    <col min="2" max="2" width="24.1640625" customWidth="1"/>
    <col min="3" max="3" width="12.5" customWidth="1"/>
    <col min="4" max="4" width="3.83203125" customWidth="1"/>
    <col min="5" max="5" width="14.83203125" customWidth="1"/>
    <col min="6" max="6" width="3.83203125" customWidth="1"/>
    <col min="7" max="8" width="13.33203125" customWidth="1"/>
    <col min="9" max="11" width="14.83203125" customWidth="1"/>
    <col min="12" max="12" width="3.6640625" customWidth="1"/>
    <col min="13" max="13" width="11.6640625" customWidth="1"/>
    <col min="14" max="14" width="17.5" customWidth="1"/>
    <col min="15" max="15" width="3.6640625" customWidth="1"/>
    <col min="16" max="18" width="17.5" customWidth="1"/>
    <col min="19" max="19" width="3.6640625" customWidth="1"/>
    <col min="20" max="23" width="18.6640625" customWidth="1"/>
    <col min="24" max="24" width="3.6640625" customWidth="1"/>
    <col min="25" max="25" width="17.5" customWidth="1"/>
    <col min="26" max="26" width="15" customWidth="1"/>
    <col min="27" max="27" width="20.5" customWidth="1"/>
    <col min="28" max="28" width="15.1640625" customWidth="1"/>
  </cols>
  <sheetData>
    <row r="1" spans="1:29" ht="15" customHeight="1" x14ac:dyDescent="0.2"/>
    <row r="2" spans="1:29" ht="32" customHeight="1" x14ac:dyDescent="0.2">
      <c r="G2" s="287" t="s">
        <v>114</v>
      </c>
      <c r="H2" s="287"/>
      <c r="I2" s="287"/>
      <c r="J2" s="287"/>
      <c r="K2" s="287"/>
    </row>
    <row r="3" spans="1:29" s="28" customFormat="1" ht="34" customHeight="1" x14ac:dyDescent="0.2">
      <c r="A3" s="64"/>
      <c r="B3" s="166"/>
      <c r="C3" s="287" t="s">
        <v>363</v>
      </c>
      <c r="D3" s="45"/>
      <c r="E3" s="117" t="s">
        <v>319</v>
      </c>
      <c r="F3" s="45"/>
      <c r="G3" s="117" t="s">
        <v>361</v>
      </c>
      <c r="H3" s="288" t="s">
        <v>437</v>
      </c>
      <c r="I3" s="288" t="s">
        <v>438</v>
      </c>
      <c r="J3" s="117" t="s">
        <v>429</v>
      </c>
      <c r="K3" s="117" t="s">
        <v>362</v>
      </c>
      <c r="M3" s="287" t="s">
        <v>116</v>
      </c>
      <c r="N3" s="287"/>
      <c r="P3" s="287" t="s">
        <v>259</v>
      </c>
      <c r="Q3" s="287"/>
      <c r="R3" s="287"/>
      <c r="T3" s="287" t="s">
        <v>268</v>
      </c>
      <c r="U3" s="287"/>
      <c r="V3" s="287"/>
      <c r="W3" s="287"/>
      <c r="Y3" s="287" t="s">
        <v>265</v>
      </c>
    </row>
    <row r="4" spans="1:29" s="28" customFormat="1" ht="32" customHeight="1" x14ac:dyDescent="0.2">
      <c r="A4" s="47"/>
      <c r="B4" s="63" t="s">
        <v>95</v>
      </c>
      <c r="C4" s="288"/>
      <c r="D4" s="37"/>
      <c r="E4" s="129">
        <f>SUM('Per Student Base Funding'!K8:K10)</f>
        <v>3214.2608529692088</v>
      </c>
      <c r="F4" s="37"/>
      <c r="G4" s="129">
        <f>'Per Student Base Funding'!K14</f>
        <v>10316.195595486106</v>
      </c>
      <c r="H4" s="288"/>
      <c r="I4" s="288"/>
      <c r="J4" s="200">
        <f>'High-Cost Programs'!B13</f>
        <v>1</v>
      </c>
      <c r="K4" s="200">
        <f>'High-Cost Programs'!B14</f>
        <v>0.2</v>
      </c>
      <c r="M4" s="192" t="s">
        <v>340</v>
      </c>
      <c r="N4" s="129" t="str">
        <f>'Per Student Base Funding'!K18</f>
        <v>$800 - $2000</v>
      </c>
      <c r="P4" s="129">
        <f>'Per Student Base Funding'!K29</f>
        <v>1720</v>
      </c>
      <c r="Q4" s="59" t="s">
        <v>423</v>
      </c>
      <c r="R4" s="129" t="s">
        <v>398</v>
      </c>
      <c r="T4" s="129" t="s">
        <v>424</v>
      </c>
      <c r="U4" s="129" t="s">
        <v>425</v>
      </c>
      <c r="V4" s="129" t="str">
        <f>CONCATENATE("$",ROUND('Per Student Base Funding'!K30,0)," - $",ROUND('Per Student Base Funding'!K32,0))</f>
        <v>$6 - $8</v>
      </c>
      <c r="W4" s="129" t="str">
        <f>CONCATENATE("Minor Remodeling ($",ROUND('Per Student Base Funding'!K33,1),")")</f>
        <v>Minor Remodeling ($2.7)</v>
      </c>
      <c r="Y4" s="288"/>
    </row>
    <row r="5" spans="1:29" x14ac:dyDescent="0.2">
      <c r="A5" s="47"/>
      <c r="B5" s="1" t="s">
        <v>355</v>
      </c>
      <c r="C5" s="130">
        <f>'Expend, FTE, Headcount, Sq Ft'!E49</f>
        <v>4500</v>
      </c>
      <c r="D5" s="18"/>
      <c r="E5" s="19">
        <f t="shared" ref="E5:E9" si="0">C5*$E$4</f>
        <v>14464173.83836144</v>
      </c>
      <c r="F5" s="19"/>
      <c r="G5" s="19">
        <f t="shared" ref="G5:G9" si="1">$G$4*C5</f>
        <v>46422880.179687478</v>
      </c>
      <c r="H5" s="148">
        <f>'High-Cost Programs'!C3</f>
        <v>2.5000000000000001E-3</v>
      </c>
      <c r="I5" s="148">
        <f>'High-Cost Programs'!B3</f>
        <v>0.09</v>
      </c>
      <c r="J5" s="19">
        <f t="shared" ref="J5:J9" si="2">C5*H5*(G$4*(J$4))</f>
        <v>116057.2004492187</v>
      </c>
      <c r="K5" s="19">
        <f t="shared" ref="K5:K9" si="3">C5*I5*(G$4*K$4)</f>
        <v>835611.84323437454</v>
      </c>
      <c r="M5" s="50" t="s">
        <v>326</v>
      </c>
      <c r="N5" s="19">
        <f>IF(M5="Masters",C5*'Per Student Base Funding'!$K$28,IF(OR(M5="R2",M5="R3"),C5*'Per Student Base Funding'!$K$27,IF(M5="R1",C5*'Per Student Base Funding'!$K$26,0)))</f>
        <v>3600000</v>
      </c>
      <c r="P5" s="19">
        <f>C5*$P$4</f>
        <v>7740000</v>
      </c>
      <c r="Q5" s="234" t="str">
        <f>IF(C5&lt;10000,"Small",IF(C5&gt;20000,"Large","Medium"))</f>
        <v>Small</v>
      </c>
      <c r="R5" s="19">
        <f>IF(Q5="Small",'Equity Adjustment Amounts'!$U$9*C5,IF(Q5="Medium",'Equity Adjustment Amounts'!$V$9*C5,0))</f>
        <v>2322000</v>
      </c>
      <c r="T5" s="131">
        <f>'O&amp;M'!K9</f>
        <v>700000</v>
      </c>
      <c r="U5" s="131">
        <f>'O&amp;M'!O9</f>
        <v>175000</v>
      </c>
      <c r="V5" s="30">
        <f>T5*'O&amp;M'!L9+'O&amp;M'!P9*'Institutional Base Calc'!U5</f>
        <v>8532999.9999999981</v>
      </c>
      <c r="W5" s="249">
        <f>(T5+U5)*'Per Student Base Funding'!$K$33</f>
        <v>2353990.7722031726</v>
      </c>
      <c r="Y5" s="43">
        <f>V5+R5+N5+G5+K5+E5+J5+P5</f>
        <v>84033723.061732501</v>
      </c>
      <c r="Z5" s="19"/>
      <c r="AA5" s="19"/>
      <c r="AB5" s="150"/>
      <c r="AC5" s="150"/>
    </row>
    <row r="6" spans="1:29" x14ac:dyDescent="0.2">
      <c r="A6" s="47"/>
      <c r="B6" s="1" t="s">
        <v>356</v>
      </c>
      <c r="C6" s="130">
        <f>'Expend, FTE, Headcount, Sq Ft'!E50</f>
        <v>18000</v>
      </c>
      <c r="D6" s="18"/>
      <c r="E6" s="19">
        <f t="shared" si="0"/>
        <v>57856695.353445761</v>
      </c>
      <c r="F6" s="19"/>
      <c r="G6" s="19">
        <f t="shared" si="1"/>
        <v>185691520.71874991</v>
      </c>
      <c r="H6" s="148">
        <f>'High-Cost Programs'!C4</f>
        <v>1E-3</v>
      </c>
      <c r="I6" s="148">
        <f>'High-Cost Programs'!B4</f>
        <v>0.19</v>
      </c>
      <c r="J6" s="19">
        <f t="shared" si="2"/>
        <v>185691.5207187499</v>
      </c>
      <c r="K6" s="19">
        <f t="shared" si="3"/>
        <v>7056277.7873124965</v>
      </c>
      <c r="M6" s="50" t="s">
        <v>327</v>
      </c>
      <c r="N6" s="19">
        <f>IF(M6="Masters",C6*'Per Student Base Funding'!$K$28,IF(OR(M6="R2",M6="R3"),C6*'Per Student Base Funding'!$K$27,IF(M6="R1",C6*'Per Student Base Funding'!$K$26,0)))</f>
        <v>25200000</v>
      </c>
      <c r="P6" s="19">
        <f t="shared" ref="P6:P7" si="4">C6*$P$4</f>
        <v>30960000</v>
      </c>
      <c r="Q6" s="234" t="str">
        <f t="shared" ref="Q6:Q9" si="5">IF(C6&lt;10000,"Small",IF(C6&gt;20000,"Large","Medium"))</f>
        <v>Medium</v>
      </c>
      <c r="R6" s="19">
        <f>IF(Q6="Small",'Equity Adjustment Amounts'!$U$9*C6,IF(Q6="Medium",'Equity Adjustment Amounts'!$V$9*C6,0))</f>
        <v>4644000</v>
      </c>
      <c r="T6" s="131">
        <f>'O&amp;M'!K10</f>
        <v>3000000</v>
      </c>
      <c r="U6" s="131">
        <f>'O&amp;M'!O10</f>
        <v>525000</v>
      </c>
      <c r="V6" s="30">
        <f>T6*'O&amp;M'!L10+'O&amp;M'!P10*'Institutional Base Calc'!U6</f>
        <v>21726750</v>
      </c>
      <c r="W6" s="249">
        <f>(T6+U6)*'Per Student Base Funding'!$K$33</f>
        <v>9483219.9680184945</v>
      </c>
      <c r="Y6" s="43">
        <f>V6+R6+N6+G6+K6+E6+J6+P6</f>
        <v>333320935.38022691</v>
      </c>
      <c r="Z6" s="19"/>
      <c r="AA6" s="19"/>
      <c r="AB6" s="150"/>
      <c r="AC6" s="150"/>
    </row>
    <row r="7" spans="1:29" x14ac:dyDescent="0.2">
      <c r="A7" s="47"/>
      <c r="B7" s="1" t="s">
        <v>357</v>
      </c>
      <c r="C7" s="130">
        <f>'Expend, FTE, Headcount, Sq Ft'!E51</f>
        <v>7000</v>
      </c>
      <c r="D7" s="18"/>
      <c r="E7" s="19">
        <f>C7*$E$4</f>
        <v>22499825.970784463</v>
      </c>
      <c r="F7" s="19"/>
      <c r="G7" s="19">
        <f t="shared" si="1"/>
        <v>72213369.168402746</v>
      </c>
      <c r="H7" s="148">
        <f>'High-Cost Programs'!C5</f>
        <v>0</v>
      </c>
      <c r="I7" s="148">
        <f>'High-Cost Programs'!B5</f>
        <v>0.12</v>
      </c>
      <c r="J7" s="19">
        <f t="shared" si="2"/>
        <v>0</v>
      </c>
      <c r="K7" s="19">
        <f t="shared" si="3"/>
        <v>1733120.8600416658</v>
      </c>
      <c r="M7" s="50" t="s">
        <v>326</v>
      </c>
      <c r="N7" s="19">
        <f>IF(M7="Masters",C7*'Per Student Base Funding'!$K$28,IF(OR(M7="R2",M7="R3"),C7*'Per Student Base Funding'!$K$27,IF(M7="R1",C7*'Per Student Base Funding'!$K$26,0)))</f>
        <v>5600000</v>
      </c>
      <c r="P7" s="19">
        <f t="shared" si="4"/>
        <v>12040000</v>
      </c>
      <c r="Q7" s="234" t="str">
        <f t="shared" si="5"/>
        <v>Small</v>
      </c>
      <c r="R7" s="19">
        <f>IF(Q7="Small",'Equity Adjustment Amounts'!$U$9*C7,IF(Q7="Medium",'Equity Adjustment Amounts'!$V$9*C7,0))</f>
        <v>3612000</v>
      </c>
      <c r="T7" s="131">
        <f>'O&amp;M'!K11</f>
        <v>1250000</v>
      </c>
      <c r="U7" s="131">
        <f>'O&amp;M'!O11</f>
        <v>190000</v>
      </c>
      <c r="V7" s="30">
        <f>T7*'O&amp;M'!L11+'O&amp;M'!P11*'Institutional Base Calc'!U7</f>
        <v>12125700</v>
      </c>
      <c r="W7" s="249">
        <f>(T7+U7)*'Per Student Base Funding'!$K$33</f>
        <v>3873996.2422543638</v>
      </c>
      <c r="Y7" s="43">
        <f>V7+R7+N7+G7+K7+E7+J7+P7</f>
        <v>129824015.99922886</v>
      </c>
      <c r="Z7" s="19"/>
      <c r="AA7" s="19"/>
      <c r="AB7" s="150"/>
      <c r="AC7" s="150"/>
    </row>
    <row r="8" spans="1:29" x14ac:dyDescent="0.2">
      <c r="A8" s="47"/>
      <c r="B8" s="1" t="s">
        <v>358</v>
      </c>
      <c r="C8" s="130">
        <f>'Expend, FTE, Headcount, Sq Ft'!E52</f>
        <v>13000</v>
      </c>
      <c r="D8" s="18"/>
      <c r="E8" s="19">
        <f t="shared" si="0"/>
        <v>41785391.088599712</v>
      </c>
      <c r="F8" s="19"/>
      <c r="G8" s="19">
        <f t="shared" si="1"/>
        <v>134110542.74131937</v>
      </c>
      <c r="H8" s="148">
        <f>'High-Cost Programs'!C6</f>
        <v>0.04</v>
      </c>
      <c r="I8" s="148">
        <f>'High-Cost Programs'!B6</f>
        <v>0.22</v>
      </c>
      <c r="J8" s="19">
        <f t="shared" si="2"/>
        <v>5364421.709652775</v>
      </c>
      <c r="K8" s="19">
        <f t="shared" si="3"/>
        <v>5900863.8806180526</v>
      </c>
      <c r="M8" s="50" t="s">
        <v>328</v>
      </c>
      <c r="N8" s="19">
        <f>IF(M8="Masters",C8*'Per Student Base Funding'!$K$28,IF(OR(M8="R2",M8="R3"),C8*'Per Student Base Funding'!$K$27,IF(M8="R1",C8*'Per Student Base Funding'!$K$26,0)))</f>
        <v>18200000</v>
      </c>
      <c r="P8" s="19">
        <f>C8*$P$4</f>
        <v>22360000</v>
      </c>
      <c r="Q8" s="234" t="str">
        <f t="shared" si="5"/>
        <v>Medium</v>
      </c>
      <c r="R8" s="19">
        <f>IF(Q8="Small",'Equity Adjustment Amounts'!$U$9*C8,IF(Q8="Medium",'Equity Adjustment Amounts'!$V$9*C8,0))</f>
        <v>3354000</v>
      </c>
      <c r="T8" s="131">
        <f>'O&amp;M'!K12</f>
        <v>3500000</v>
      </c>
      <c r="U8" s="131">
        <f>'O&amp;M'!O12</f>
        <v>525000</v>
      </c>
      <c r="V8" s="30">
        <f>T8*'O&amp;M'!L12+'O&amp;M'!P12*'Institutional Base Calc'!U8</f>
        <v>24603646.908393886</v>
      </c>
      <c r="W8" s="249">
        <f>(T8+U8)*'Per Student Base Funding'!$K$33</f>
        <v>10828357.552134594</v>
      </c>
      <c r="Y8" s="43">
        <f>V8+R8+N8+G8+K8+E8+J8+P8</f>
        <v>255678866.32858384</v>
      </c>
      <c r="Z8" s="19"/>
      <c r="AA8" s="19"/>
      <c r="AB8" s="150"/>
      <c r="AC8" s="150"/>
    </row>
    <row r="9" spans="1:29" x14ac:dyDescent="0.2">
      <c r="A9" s="47"/>
      <c r="B9" s="1" t="s">
        <v>376</v>
      </c>
      <c r="C9" s="130">
        <f>'Expend, FTE, Headcount, Sq Ft'!E53</f>
        <v>8000</v>
      </c>
      <c r="D9" s="18"/>
      <c r="E9" s="19">
        <f t="shared" si="0"/>
        <v>25714086.82375367</v>
      </c>
      <c r="F9" s="19"/>
      <c r="G9" s="19">
        <f t="shared" si="1"/>
        <v>82529564.763888851</v>
      </c>
      <c r="H9" s="148">
        <f>'High-Cost Programs'!C7</f>
        <v>0</v>
      </c>
      <c r="I9" s="148">
        <f>'High-Cost Programs'!B7</f>
        <v>0.14000000000000001</v>
      </c>
      <c r="J9" s="19">
        <f t="shared" si="2"/>
        <v>0</v>
      </c>
      <c r="K9" s="19">
        <f t="shared" si="3"/>
        <v>2310827.8133888878</v>
      </c>
      <c r="M9" s="50" t="s">
        <v>326</v>
      </c>
      <c r="N9" s="19">
        <f>IF(M9="Masters",C9*'Per Student Base Funding'!$K$28,IF(OR(M9="R2",M9="R3"),C9*'Per Student Base Funding'!$K$27,IF(M9="R1",C9*'Per Student Base Funding'!$K$26,0)))</f>
        <v>6400000</v>
      </c>
      <c r="P9" s="19">
        <f>C9*$P$4</f>
        <v>13760000</v>
      </c>
      <c r="Q9" s="234" t="str">
        <f t="shared" si="5"/>
        <v>Small</v>
      </c>
      <c r="R9" s="19">
        <f>IF(Q9="Small",'Equity Adjustment Amounts'!$U$9*C9,IF(Q9="Medium",'Equity Adjustment Amounts'!$V$9*C9,0))</f>
        <v>4128000</v>
      </c>
      <c r="T9" s="131">
        <f>'O&amp;M'!K13</f>
        <v>1500000</v>
      </c>
      <c r="U9" s="131">
        <f>'O&amp;M'!O13</f>
        <v>300000</v>
      </c>
      <c r="V9" s="30">
        <f>T9*'O&amp;M'!L13+'O&amp;M'!P13*'Institutional Base Calc'!U9</f>
        <v>11117965.966972969</v>
      </c>
      <c r="W9" s="249">
        <f>(T9+U9)*'Per Student Base Funding'!$K$33</f>
        <v>4842495.3028179547</v>
      </c>
      <c r="Y9" s="43">
        <f>V9+R9+N9+G9+K9+E9+J9+P9</f>
        <v>145960445.36800438</v>
      </c>
      <c r="Z9" s="19"/>
      <c r="AA9" s="19"/>
      <c r="AB9" s="150"/>
      <c r="AC9" s="150"/>
    </row>
    <row r="10" spans="1:29" ht="15" customHeight="1" x14ac:dyDescent="0.2">
      <c r="N10" s="19"/>
      <c r="T10" s="19"/>
    </row>
    <row r="11" spans="1:29" ht="15" customHeight="1" x14ac:dyDescent="0.2">
      <c r="E11" s="281" t="s">
        <v>447</v>
      </c>
      <c r="M11" s="281" t="s">
        <v>448</v>
      </c>
      <c r="N11" s="281"/>
      <c r="P11" s="289" t="s">
        <v>439</v>
      </c>
      <c r="T11" s="19"/>
      <c r="W11" s="281" t="s">
        <v>449</v>
      </c>
    </row>
    <row r="12" spans="1:29" x14ac:dyDescent="0.2">
      <c r="E12" s="281"/>
      <c r="M12" s="281"/>
      <c r="N12" s="281"/>
      <c r="P12" s="289"/>
      <c r="W12" s="281"/>
    </row>
    <row r="13" spans="1:29" x14ac:dyDescent="0.2">
      <c r="E13" s="281"/>
      <c r="M13" s="281"/>
      <c r="N13" s="281"/>
      <c r="P13" s="289"/>
      <c r="T13" s="19"/>
      <c r="W13" s="281"/>
    </row>
    <row r="14" spans="1:29" x14ac:dyDescent="0.2">
      <c r="E14" s="281"/>
      <c r="M14" s="281"/>
      <c r="N14" s="281"/>
      <c r="P14" s="289"/>
      <c r="T14" s="19"/>
      <c r="W14" s="281"/>
    </row>
    <row r="15" spans="1:29" x14ac:dyDescent="0.2">
      <c r="E15" s="281"/>
      <c r="M15" s="281"/>
      <c r="N15" s="281"/>
      <c r="P15" s="289"/>
      <c r="W15" s="281"/>
    </row>
    <row r="16" spans="1:29" x14ac:dyDescent="0.2">
      <c r="E16" s="281"/>
      <c r="M16" s="21"/>
      <c r="N16" s="21"/>
      <c r="P16" s="289"/>
      <c r="W16" s="281"/>
    </row>
    <row r="17" spans="5:23" x14ac:dyDescent="0.2">
      <c r="E17" s="281"/>
      <c r="M17" s="21"/>
      <c r="N17" s="21"/>
      <c r="P17" s="289"/>
      <c r="W17" s="281"/>
    </row>
  </sheetData>
  <sheetProtection algorithmName="SHA-512" hashValue="D/P830g/Vhn+Pxjq7dLOUoERCCd7KNL4zoPnUz2u31d7+D4884VtJSVzNlocxp2ESVQ5TKR9MTmLnEHCRQkoWQ==" saltValue="mmj37nzdwUUqDhdisp7tqw==" spinCount="100000" sheet="1" objects="1" scenarios="1"/>
  <mergeCells count="12">
    <mergeCell ref="G2:K2"/>
    <mergeCell ref="Y3:Y4"/>
    <mergeCell ref="P11:P17"/>
    <mergeCell ref="W11:W17"/>
    <mergeCell ref="E11:E17"/>
    <mergeCell ref="M11:N15"/>
    <mergeCell ref="C3:C4"/>
    <mergeCell ref="H3:H4"/>
    <mergeCell ref="I3:I4"/>
    <mergeCell ref="P3:R3"/>
    <mergeCell ref="T3:W3"/>
    <mergeCell ref="M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3925-B92E-3D48-A934-0078D0CE48F6}">
  <sheetPr>
    <tabColor theme="9"/>
  </sheetPr>
  <dimension ref="A1:AF19"/>
  <sheetViews>
    <sheetView zoomScale="140" zoomScaleNormal="140" workbookViewId="0">
      <selection activeCell="B2" sqref="B2"/>
    </sheetView>
  </sheetViews>
  <sheetFormatPr baseColWidth="10" defaultRowHeight="15" x14ac:dyDescent="0.2"/>
  <cols>
    <col min="1" max="1" width="4.5" customWidth="1"/>
    <col min="2" max="2" width="28.83203125" customWidth="1"/>
    <col min="3" max="3" width="14" customWidth="1"/>
    <col min="4" max="4" width="3.83203125" customWidth="1"/>
    <col min="5" max="5" width="14.83203125" customWidth="1"/>
    <col min="6" max="6" width="3.83203125" customWidth="1"/>
    <col min="7" max="8" width="12.33203125" customWidth="1"/>
    <col min="9" max="17" width="15" customWidth="1"/>
    <col min="19" max="19" width="12.33203125" customWidth="1"/>
    <col min="20" max="25" width="15" customWidth="1"/>
    <col min="26" max="27" width="15.1640625" customWidth="1"/>
    <col min="28" max="30" width="15.5" customWidth="1"/>
    <col min="31" max="31" width="3.83203125" customWidth="1"/>
    <col min="32" max="32" width="14" customWidth="1"/>
  </cols>
  <sheetData>
    <row r="1" spans="1:32" x14ac:dyDescent="0.2">
      <c r="B1" s="17"/>
      <c r="C1" s="24"/>
      <c r="T1" s="290" t="s">
        <v>254</v>
      </c>
      <c r="U1" s="290"/>
      <c r="V1" s="290"/>
      <c r="W1" s="290"/>
      <c r="X1" s="290"/>
      <c r="Y1" s="290"/>
      <c r="Z1" s="290"/>
      <c r="AA1" s="290"/>
      <c r="AB1" s="290"/>
      <c r="AC1" s="290"/>
      <c r="AD1" s="290"/>
    </row>
    <row r="2" spans="1:32" x14ac:dyDescent="0.2">
      <c r="H2" s="290" t="s">
        <v>252</v>
      </c>
      <c r="I2" s="290"/>
      <c r="J2" s="290"/>
      <c r="K2" s="290"/>
      <c r="L2" s="290"/>
      <c r="M2" s="290"/>
      <c r="N2" s="290"/>
      <c r="O2" s="290"/>
      <c r="P2" s="290"/>
      <c r="Q2" s="290"/>
      <c r="S2" s="20"/>
      <c r="T2" s="32">
        <f>'Equity Adjustment Amounts'!E10</f>
        <v>1000</v>
      </c>
      <c r="U2" s="32">
        <f>'Equity Adjustment Amounts'!F10</f>
        <v>500</v>
      </c>
      <c r="V2" s="32">
        <f>'Equity Adjustment Amounts'!H10</f>
        <v>8000</v>
      </c>
      <c r="W2" s="32">
        <f>'Equity Adjustment Amounts'!I10</f>
        <v>6000</v>
      </c>
      <c r="X2" s="32">
        <f>'Equity Adjustment Amounts'!J10</f>
        <v>4000</v>
      </c>
      <c r="Y2" s="32">
        <f>'Equity Adjustment Amounts'!K10</f>
        <v>2000</v>
      </c>
      <c r="Z2" s="32">
        <f>'Equity Adjustment Amounts'!L10</f>
        <v>4000</v>
      </c>
      <c r="AA2" s="32">
        <f>'Equity Adjustment Amounts'!M10</f>
        <v>2000</v>
      </c>
      <c r="AB2" s="32">
        <f>'Equity Adjustment Amounts'!O10</f>
        <v>422</v>
      </c>
      <c r="AC2" s="32">
        <f>'Equity Adjustment Amounts'!Q10</f>
        <v>1031.6195595486106</v>
      </c>
      <c r="AD2" s="32">
        <f>'Equity Adjustment Amounts'!P10</f>
        <v>3094.8586786458318</v>
      </c>
      <c r="AE2" s="20"/>
      <c r="AF2" s="20"/>
    </row>
    <row r="3" spans="1:32" s="28" customFormat="1" ht="34" customHeight="1" x14ac:dyDescent="0.2">
      <c r="A3" s="64"/>
      <c r="C3" s="287" t="s">
        <v>322</v>
      </c>
      <c r="D3" s="45"/>
      <c r="E3" s="287" t="s">
        <v>251</v>
      </c>
      <c r="F3" s="45"/>
      <c r="G3" s="287" t="s">
        <v>172</v>
      </c>
      <c r="H3" s="287"/>
      <c r="I3" s="287" t="s">
        <v>226</v>
      </c>
      <c r="J3" s="287"/>
      <c r="K3" s="287"/>
      <c r="L3" s="287"/>
      <c r="M3" s="287" t="s">
        <v>227</v>
      </c>
      <c r="N3" s="287"/>
      <c r="O3" s="287" t="s">
        <v>170</v>
      </c>
      <c r="P3" s="287"/>
      <c r="Q3" s="117"/>
      <c r="S3" s="287" t="s">
        <v>343</v>
      </c>
      <c r="T3" s="287" t="s">
        <v>172</v>
      </c>
      <c r="U3" s="287"/>
      <c r="V3" s="287" t="s">
        <v>186</v>
      </c>
      <c r="W3" s="287"/>
      <c r="X3" s="287"/>
      <c r="Y3" s="287"/>
      <c r="Z3" s="287" t="s">
        <v>227</v>
      </c>
      <c r="AA3" s="287"/>
      <c r="AB3" s="287" t="s">
        <v>170</v>
      </c>
      <c r="AC3" s="287"/>
      <c r="AD3" s="287"/>
      <c r="AE3" s="66"/>
      <c r="AF3" s="287" t="s">
        <v>176</v>
      </c>
    </row>
    <row r="4" spans="1:32" s="28" customFormat="1" ht="44" customHeight="1" x14ac:dyDescent="0.2">
      <c r="A4" s="47"/>
      <c r="B4" s="63" t="s">
        <v>95</v>
      </c>
      <c r="C4" s="288"/>
      <c r="D4" s="45"/>
      <c r="E4" s="288"/>
      <c r="F4" s="45"/>
      <c r="G4" s="100" t="s">
        <v>173</v>
      </c>
      <c r="H4" s="100" t="s">
        <v>175</v>
      </c>
      <c r="I4" s="65" t="s">
        <v>188</v>
      </c>
      <c r="J4" s="65" t="s">
        <v>173</v>
      </c>
      <c r="K4" s="65" t="s">
        <v>174</v>
      </c>
      <c r="L4" s="65" t="s">
        <v>175</v>
      </c>
      <c r="M4" s="101" t="s">
        <v>173</v>
      </c>
      <c r="N4" s="101" t="s">
        <v>175</v>
      </c>
      <c r="O4" s="56" t="s">
        <v>255</v>
      </c>
      <c r="P4" s="56" t="s">
        <v>232</v>
      </c>
      <c r="Q4" s="56" t="s">
        <v>318</v>
      </c>
      <c r="S4" s="287"/>
      <c r="T4" s="101" t="s">
        <v>173</v>
      </c>
      <c r="U4" s="101" t="s">
        <v>175</v>
      </c>
      <c r="V4" s="65" t="s">
        <v>188</v>
      </c>
      <c r="W4" s="65" t="s">
        <v>173</v>
      </c>
      <c r="X4" s="65" t="s">
        <v>174</v>
      </c>
      <c r="Y4" s="65" t="s">
        <v>175</v>
      </c>
      <c r="Z4" s="101" t="s">
        <v>174</v>
      </c>
      <c r="AA4" s="101" t="s">
        <v>175</v>
      </c>
      <c r="AB4" s="56" t="s">
        <v>440</v>
      </c>
      <c r="AC4" s="56" t="s">
        <v>232</v>
      </c>
      <c r="AD4" s="56" t="s">
        <v>323</v>
      </c>
      <c r="AE4" s="66"/>
      <c r="AF4" s="288"/>
    </row>
    <row r="5" spans="1:32" x14ac:dyDescent="0.2">
      <c r="A5" s="47"/>
      <c r="B5" s="1" t="s">
        <v>355</v>
      </c>
      <c r="C5" s="18">
        <f>'Expend, FTE, Headcount, Sq Ft'!E49</f>
        <v>4500</v>
      </c>
      <c r="D5" s="18"/>
      <c r="E5" s="19">
        <f>'Institutional Base Calc'!Y5</f>
        <v>84033723.061732501</v>
      </c>
      <c r="F5" s="19"/>
      <c r="G5" s="18">
        <f>'Tier Counts'!I7+'Tier Counts'!K7</f>
        <v>1980</v>
      </c>
      <c r="H5" s="18">
        <f>'Tier Counts'!E7+'Tier Counts'!G7</f>
        <v>690</v>
      </c>
      <c r="I5" s="18">
        <f>'Tier Counts'!K7</f>
        <v>1050</v>
      </c>
      <c r="J5" s="18">
        <f>'Tier Counts'!I7</f>
        <v>930</v>
      </c>
      <c r="K5" s="18">
        <f>'Tier Counts'!G7</f>
        <v>630</v>
      </c>
      <c r="L5" s="18">
        <f>'Tier Counts'!E7</f>
        <v>60</v>
      </c>
      <c r="M5" s="18">
        <f>'Tier Counts'!M31</f>
        <v>487.33786287831992</v>
      </c>
      <c r="N5" s="18">
        <f>'Tier Counts'!N31</f>
        <v>186.22606547251391</v>
      </c>
      <c r="O5" s="18">
        <f t="shared" ref="O5:O9" si="0">C5</f>
        <v>4500</v>
      </c>
      <c r="P5" s="116">
        <f>'High-Cost Programs'!J3*C5</f>
        <v>182.25</v>
      </c>
      <c r="Q5" s="116">
        <f>'High-Cost Programs'!K3*C5</f>
        <v>0</v>
      </c>
      <c r="S5" s="235">
        <f>'Tier Counts'!P7</f>
        <v>1.2</v>
      </c>
      <c r="T5" s="19">
        <f t="shared" ref="T5:U9" si="1">T$2*G5</f>
        <v>1980000</v>
      </c>
      <c r="U5" s="19">
        <f t="shared" si="1"/>
        <v>345000</v>
      </c>
      <c r="V5" s="19">
        <f>V$2*I5*$S5</f>
        <v>10080000</v>
      </c>
      <c r="W5" s="19">
        <f t="shared" ref="W5:Y5" si="2">W$2*J5*$S5</f>
        <v>6696000</v>
      </c>
      <c r="X5" s="19">
        <f t="shared" si="2"/>
        <v>3024000</v>
      </c>
      <c r="Y5" s="19">
        <f t="shared" si="2"/>
        <v>144000</v>
      </c>
      <c r="Z5" s="19">
        <f t="shared" ref="Z5:AB9" si="3">Z$2*M5</f>
        <v>1949351.4515132797</v>
      </c>
      <c r="AA5" s="19">
        <f t="shared" si="3"/>
        <v>372452.13094502781</v>
      </c>
      <c r="AB5" s="19">
        <f t="shared" si="3"/>
        <v>1899000</v>
      </c>
      <c r="AC5" s="19">
        <f t="shared" ref="AC5:AD9" si="4">IFERROR(AC$2*P5,0)</f>
        <v>188012.66472773429</v>
      </c>
      <c r="AD5" s="19">
        <f t="shared" si="4"/>
        <v>0</v>
      </c>
      <c r="AE5" s="18"/>
      <c r="AF5" s="43">
        <f>SUM(T5:AD5)</f>
        <v>26677816.247186039</v>
      </c>
    </row>
    <row r="6" spans="1:32" x14ac:dyDescent="0.2">
      <c r="A6" s="47"/>
      <c r="B6" s="1" t="s">
        <v>356</v>
      </c>
      <c r="C6" s="18">
        <f>'Expend, FTE, Headcount, Sq Ft'!E50</f>
        <v>18000</v>
      </c>
      <c r="D6" s="18"/>
      <c r="E6" s="19">
        <f>'Institutional Base Calc'!Y6</f>
        <v>333320935.38022691</v>
      </c>
      <c r="F6" s="19"/>
      <c r="G6" s="18">
        <f>'Tier Counts'!I8+'Tier Counts'!K8</f>
        <v>4350</v>
      </c>
      <c r="H6" s="18">
        <f>'Tier Counts'!E8+'Tier Counts'!G8</f>
        <v>4200</v>
      </c>
      <c r="I6" s="18">
        <f>'Tier Counts'!K8</f>
        <v>1650</v>
      </c>
      <c r="J6" s="18">
        <f>'Tier Counts'!I8</f>
        <v>2700</v>
      </c>
      <c r="K6" s="18">
        <f>'Tier Counts'!G8</f>
        <v>3000</v>
      </c>
      <c r="L6" s="18">
        <f>'Tier Counts'!E8</f>
        <v>1200</v>
      </c>
      <c r="M6" s="18">
        <f>'Tier Counts'!M32</f>
        <v>225.93636729762383</v>
      </c>
      <c r="N6" s="18">
        <f>'Tier Counts'!N32</f>
        <v>304.47039871123644</v>
      </c>
      <c r="O6" s="18">
        <f t="shared" si="0"/>
        <v>18000</v>
      </c>
      <c r="P6" s="116">
        <f>'High-Cost Programs'!J4*C6</f>
        <v>410.40000000000003</v>
      </c>
      <c r="Q6" s="116">
        <f>'High-Cost Programs'!K4*C6</f>
        <v>3.06</v>
      </c>
      <c r="S6" s="235">
        <f>'Tier Counts'!P8</f>
        <v>1</v>
      </c>
      <c r="T6" s="19">
        <f t="shared" si="1"/>
        <v>4350000</v>
      </c>
      <c r="U6" s="19">
        <f t="shared" si="1"/>
        <v>2100000</v>
      </c>
      <c r="V6" s="19">
        <f t="shared" ref="V6:V9" si="5">V$2*I6*$S6</f>
        <v>13200000</v>
      </c>
      <c r="W6" s="19">
        <f t="shared" ref="W6:W9" si="6">W$2*J6*$S6</f>
        <v>16200000</v>
      </c>
      <c r="X6" s="19">
        <f t="shared" ref="X6:X9" si="7">X$2*K6*$S6</f>
        <v>12000000</v>
      </c>
      <c r="Y6" s="19">
        <f t="shared" ref="Y6:Y9" si="8">Y$2*L6*$S6</f>
        <v>2400000</v>
      </c>
      <c r="Z6" s="19">
        <f t="shared" si="3"/>
        <v>903745.46919049532</v>
      </c>
      <c r="AA6" s="19">
        <f t="shared" si="3"/>
        <v>608940.79742247285</v>
      </c>
      <c r="AB6" s="19">
        <f t="shared" si="3"/>
        <v>7596000</v>
      </c>
      <c r="AC6" s="19">
        <f t="shared" si="4"/>
        <v>423376.6672387498</v>
      </c>
      <c r="AD6" s="19">
        <f t="shared" si="4"/>
        <v>9470.2675566562448</v>
      </c>
      <c r="AE6" s="18"/>
      <c r="AF6" s="43">
        <f t="shared" ref="AF6:AF9" si="9">SUM(T6:AD6)</f>
        <v>59791533.201408379</v>
      </c>
    </row>
    <row r="7" spans="1:32" x14ac:dyDescent="0.2">
      <c r="A7" s="47"/>
      <c r="B7" s="1" t="s">
        <v>357</v>
      </c>
      <c r="C7" s="18">
        <f>'Expend, FTE, Headcount, Sq Ft'!E51</f>
        <v>7000</v>
      </c>
      <c r="D7" s="18"/>
      <c r="E7" s="19">
        <f>'Institutional Base Calc'!Y7</f>
        <v>129824015.99922886</v>
      </c>
      <c r="F7" s="19"/>
      <c r="G7" s="18">
        <f>'Tier Counts'!I9+'Tier Counts'!K9</f>
        <v>3700</v>
      </c>
      <c r="H7" s="18">
        <f>'Tier Counts'!E9+'Tier Counts'!G9</f>
        <v>925.00000000000011</v>
      </c>
      <c r="I7" s="18">
        <f>'Tier Counts'!K9</f>
        <v>2450</v>
      </c>
      <c r="J7" s="18">
        <f>'Tier Counts'!I9</f>
        <v>1250</v>
      </c>
      <c r="K7" s="18">
        <f>'Tier Counts'!G9</f>
        <v>850.00000000000011</v>
      </c>
      <c r="L7" s="18">
        <f>'Tier Counts'!E9</f>
        <v>75</v>
      </c>
      <c r="M7" s="18">
        <f>'Tier Counts'!M33</f>
        <v>170.53206002728513</v>
      </c>
      <c r="N7" s="18">
        <f>'Tier Counts'!N33</f>
        <v>605.72987721691675</v>
      </c>
      <c r="O7" s="18">
        <f t="shared" si="0"/>
        <v>7000</v>
      </c>
      <c r="P7" s="116">
        <f>'High-Cost Programs'!J5*C7</f>
        <v>293.99999999999994</v>
      </c>
      <c r="Q7" s="116">
        <f>'High-Cost Programs'!K5*C7</f>
        <v>0</v>
      </c>
      <c r="S7" s="235">
        <f>'Tier Counts'!P9</f>
        <v>1.2</v>
      </c>
      <c r="T7" s="19">
        <f t="shared" si="1"/>
        <v>3700000</v>
      </c>
      <c r="U7" s="19">
        <f t="shared" si="1"/>
        <v>462500.00000000006</v>
      </c>
      <c r="V7" s="19">
        <f t="shared" si="5"/>
        <v>23520000</v>
      </c>
      <c r="W7" s="19">
        <f t="shared" si="6"/>
        <v>9000000</v>
      </c>
      <c r="X7" s="19">
        <f t="shared" si="7"/>
        <v>4080000.0000000005</v>
      </c>
      <c r="Y7" s="19">
        <f t="shared" si="8"/>
        <v>180000</v>
      </c>
      <c r="Z7" s="19">
        <f t="shared" si="3"/>
        <v>682128.24010914052</v>
      </c>
      <c r="AA7" s="19">
        <f t="shared" si="3"/>
        <v>1211459.7544338335</v>
      </c>
      <c r="AB7" s="19">
        <f t="shared" si="3"/>
        <v>2954000</v>
      </c>
      <c r="AC7" s="19">
        <f t="shared" si="4"/>
        <v>303296.15050729143</v>
      </c>
      <c r="AD7" s="19">
        <f t="shared" si="4"/>
        <v>0</v>
      </c>
      <c r="AE7" s="18"/>
      <c r="AF7" s="43">
        <f t="shared" si="9"/>
        <v>46093384.145050265</v>
      </c>
    </row>
    <row r="8" spans="1:32" x14ac:dyDescent="0.2">
      <c r="A8" s="47"/>
      <c r="B8" s="1" t="s">
        <v>358</v>
      </c>
      <c r="C8" s="18">
        <f>'Expend, FTE, Headcount, Sq Ft'!E52</f>
        <v>13000</v>
      </c>
      <c r="D8" s="18"/>
      <c r="E8" s="19">
        <f>'Institutional Base Calc'!Y8</f>
        <v>255678866.32858384</v>
      </c>
      <c r="F8" s="19"/>
      <c r="G8" s="18">
        <f>'Tier Counts'!I10+'Tier Counts'!K10</f>
        <v>6000</v>
      </c>
      <c r="H8" s="18">
        <f>'Tier Counts'!E10+'Tier Counts'!G10</f>
        <v>2350</v>
      </c>
      <c r="I8" s="18">
        <f>'Tier Counts'!K10</f>
        <v>2500</v>
      </c>
      <c r="J8" s="18">
        <f>'Tier Counts'!I10</f>
        <v>3500</v>
      </c>
      <c r="K8" s="18">
        <f>'Tier Counts'!G10</f>
        <v>800</v>
      </c>
      <c r="L8" s="18">
        <f>'Tier Counts'!E10</f>
        <v>1550</v>
      </c>
      <c r="M8" s="18">
        <f>'Tier Counts'!M34</f>
        <v>289.1444031112614</v>
      </c>
      <c r="N8" s="18">
        <f>'Tier Counts'!N34</f>
        <v>183.63205951978358</v>
      </c>
      <c r="O8" s="18">
        <f t="shared" si="0"/>
        <v>13000</v>
      </c>
      <c r="P8" s="116">
        <f>'High-Cost Programs'!J6*C8</f>
        <v>286.00000000000006</v>
      </c>
      <c r="Q8" s="116">
        <f>'High-Cost Programs'!K6*C8</f>
        <v>26</v>
      </c>
      <c r="S8" s="235">
        <f>'Tier Counts'!P10</f>
        <v>1.1000000000000001</v>
      </c>
      <c r="T8" s="19">
        <f t="shared" si="1"/>
        <v>6000000</v>
      </c>
      <c r="U8" s="19">
        <f t="shared" si="1"/>
        <v>1175000</v>
      </c>
      <c r="V8" s="19">
        <f t="shared" si="5"/>
        <v>22000000</v>
      </c>
      <c r="W8" s="19">
        <f t="shared" si="6"/>
        <v>23100000.000000004</v>
      </c>
      <c r="X8" s="19">
        <f t="shared" si="7"/>
        <v>3520000.0000000005</v>
      </c>
      <c r="Y8" s="19">
        <f t="shared" si="8"/>
        <v>3410000.0000000005</v>
      </c>
      <c r="Z8" s="19">
        <f t="shared" si="3"/>
        <v>1156577.6124450455</v>
      </c>
      <c r="AA8" s="19">
        <f t="shared" si="3"/>
        <v>367264.11903956719</v>
      </c>
      <c r="AB8" s="19">
        <f t="shared" si="3"/>
        <v>5486000</v>
      </c>
      <c r="AC8" s="19">
        <f t="shared" si="4"/>
        <v>295043.1940309027</v>
      </c>
      <c r="AD8" s="19">
        <f t="shared" si="4"/>
        <v>80466.325644791621</v>
      </c>
      <c r="AE8" s="18"/>
      <c r="AF8" s="43">
        <f t="shared" si="9"/>
        <v>66590351.251160309</v>
      </c>
    </row>
    <row r="9" spans="1:32" x14ac:dyDescent="0.2">
      <c r="A9" s="47"/>
      <c r="B9" s="1" t="s">
        <v>376</v>
      </c>
      <c r="C9" s="18">
        <f>'Expend, FTE, Headcount, Sq Ft'!E53</f>
        <v>8000</v>
      </c>
      <c r="D9" s="18"/>
      <c r="E9" s="19">
        <f>'Institutional Base Calc'!Y9</f>
        <v>145960445.36800438</v>
      </c>
      <c r="F9" s="19"/>
      <c r="G9" s="18">
        <f>'Tier Counts'!I11+'Tier Counts'!K11</f>
        <v>3780</v>
      </c>
      <c r="H9" s="18">
        <f>'Tier Counts'!E11+'Tier Counts'!G11</f>
        <v>1380</v>
      </c>
      <c r="I9" s="18">
        <f>'Tier Counts'!K11</f>
        <v>1800</v>
      </c>
      <c r="J9" s="18">
        <f>'Tier Counts'!I11</f>
        <v>1980</v>
      </c>
      <c r="K9" s="18">
        <f>'Tier Counts'!G11</f>
        <v>720</v>
      </c>
      <c r="L9" s="18">
        <f>'Tier Counts'!E11</f>
        <v>660</v>
      </c>
      <c r="M9" s="18">
        <f>'Tier Counts'!M35</f>
        <v>141.83673469387753</v>
      </c>
      <c r="N9" s="18">
        <f>'Tier Counts'!N35</f>
        <v>138.77551020408163</v>
      </c>
      <c r="O9" s="18">
        <f t="shared" si="0"/>
        <v>8000</v>
      </c>
      <c r="P9" s="116">
        <f>'High-Cost Programs'!J7*C9</f>
        <v>224.00000000000003</v>
      </c>
      <c r="Q9" s="116">
        <f>'High-Cost Programs'!K7*C9</f>
        <v>0</v>
      </c>
      <c r="S9" s="235">
        <f>'Tier Counts'!P11</f>
        <v>1.2</v>
      </c>
      <c r="T9" s="19">
        <f t="shared" si="1"/>
        <v>3780000</v>
      </c>
      <c r="U9" s="19">
        <f t="shared" si="1"/>
        <v>690000</v>
      </c>
      <c r="V9" s="19">
        <f t="shared" si="5"/>
        <v>17280000</v>
      </c>
      <c r="W9" s="19">
        <f t="shared" si="6"/>
        <v>14256000</v>
      </c>
      <c r="X9" s="19">
        <f t="shared" si="7"/>
        <v>3456000</v>
      </c>
      <c r="Y9" s="19">
        <f t="shared" si="8"/>
        <v>1584000</v>
      </c>
      <c r="Z9" s="19">
        <f t="shared" si="3"/>
        <v>567346.93877551018</v>
      </c>
      <c r="AA9" s="19">
        <f t="shared" si="3"/>
        <v>277551.02040816325</v>
      </c>
      <c r="AB9" s="19">
        <f t="shared" si="3"/>
        <v>3376000</v>
      </c>
      <c r="AC9" s="19">
        <f t="shared" si="4"/>
        <v>231082.7813388888</v>
      </c>
      <c r="AD9" s="19">
        <f t="shared" si="4"/>
        <v>0</v>
      </c>
      <c r="AE9" s="18"/>
      <c r="AF9" s="43">
        <f t="shared" si="9"/>
        <v>45497980.740522556</v>
      </c>
    </row>
    <row r="10" spans="1:32" ht="15" customHeight="1" x14ac:dyDescent="0.2">
      <c r="G10" s="75"/>
      <c r="H10" s="75"/>
      <c r="I10" s="75"/>
      <c r="J10" s="95"/>
      <c r="L10" s="95"/>
      <c r="M10" s="95"/>
      <c r="O10" s="75"/>
      <c r="P10" s="75"/>
      <c r="Q10" s="75"/>
      <c r="X10" s="95"/>
      <c r="Y10" s="95"/>
      <c r="AD10" s="75"/>
      <c r="AE10" s="75"/>
      <c r="AF10" s="48"/>
    </row>
    <row r="11" spans="1:32" ht="15" customHeight="1" x14ac:dyDescent="0.2">
      <c r="G11" s="281" t="s">
        <v>445</v>
      </c>
      <c r="H11" s="281"/>
      <c r="I11" s="95"/>
      <c r="J11" s="28"/>
      <c r="K11" s="28"/>
      <c r="L11" s="28"/>
      <c r="M11" s="28"/>
      <c r="R11" s="281" t="s">
        <v>441</v>
      </c>
      <c r="S11" s="281"/>
      <c r="T11" s="281"/>
      <c r="X11" s="95"/>
      <c r="Y11" s="95"/>
      <c r="AD11" s="75"/>
      <c r="AE11" s="75"/>
    </row>
    <row r="12" spans="1:32" x14ac:dyDescent="0.2">
      <c r="G12" s="281"/>
      <c r="H12" s="281"/>
      <c r="J12" s="28"/>
      <c r="K12" s="28"/>
      <c r="L12" s="28"/>
      <c r="M12" s="28"/>
      <c r="R12" s="281"/>
      <c r="S12" s="281"/>
      <c r="T12" s="281"/>
    </row>
    <row r="13" spans="1:32" x14ac:dyDescent="0.2">
      <c r="G13" s="281"/>
      <c r="H13" s="281"/>
      <c r="J13" s="28"/>
      <c r="K13" s="28"/>
      <c r="R13" s="281"/>
      <c r="S13" s="281"/>
      <c r="T13" s="281"/>
    </row>
    <row r="14" spans="1:32" x14ac:dyDescent="0.2">
      <c r="G14" s="281"/>
      <c r="H14" s="281"/>
      <c r="J14" s="21"/>
      <c r="K14" s="21"/>
      <c r="R14" s="281"/>
      <c r="S14" s="281"/>
      <c r="T14" s="281"/>
    </row>
    <row r="15" spans="1:32" x14ac:dyDescent="0.2">
      <c r="G15" s="281"/>
      <c r="H15" s="281"/>
      <c r="J15" s="21"/>
      <c r="K15" s="21"/>
      <c r="R15" s="281"/>
      <c r="S15" s="281"/>
      <c r="T15" s="281"/>
    </row>
    <row r="16" spans="1:32" x14ac:dyDescent="0.2">
      <c r="G16" s="281"/>
      <c r="H16" s="281"/>
      <c r="R16" s="281"/>
      <c r="S16" s="281"/>
      <c r="T16" s="281"/>
    </row>
    <row r="17" spans="7:20" x14ac:dyDescent="0.2">
      <c r="G17" s="281"/>
      <c r="H17" s="281"/>
      <c r="R17" s="281"/>
      <c r="S17" s="281"/>
      <c r="T17" s="281"/>
    </row>
    <row r="18" spans="7:20" x14ac:dyDescent="0.2">
      <c r="G18" s="281"/>
      <c r="H18" s="281"/>
    </row>
    <row r="19" spans="7:20" x14ac:dyDescent="0.2">
      <c r="G19" s="281"/>
      <c r="H19" s="281"/>
    </row>
  </sheetData>
  <sheetProtection algorithmName="SHA-512" hashValue="3LUhlC8St6ykRfb8k0dFpO72CQekVhipSjeFLaC8SRsB0q6qhrbJmi2P9AHMEdoiW0D4axeOwydw9EX4nNszfw==" saltValue="VYJCM84eFQjvUg/3zBeybQ==" spinCount="100000" sheet="1" objects="1" scenarios="1"/>
  <mergeCells count="16">
    <mergeCell ref="T1:AD1"/>
    <mergeCell ref="Z3:AA3"/>
    <mergeCell ref="T3:U3"/>
    <mergeCell ref="H2:Q2"/>
    <mergeCell ref="E3:E4"/>
    <mergeCell ref="I3:L3"/>
    <mergeCell ref="V3:Y3"/>
    <mergeCell ref="S3:S4"/>
    <mergeCell ref="M3:N3"/>
    <mergeCell ref="G3:H3"/>
    <mergeCell ref="R11:T17"/>
    <mergeCell ref="G11:H19"/>
    <mergeCell ref="AB3:AD3"/>
    <mergeCell ref="AF3:AF4"/>
    <mergeCell ref="C3:C4"/>
    <mergeCell ref="O3:P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4B74-05A2-B849-896F-9282DB81CFFD}">
  <sheetPr>
    <tabColor theme="9"/>
  </sheetPr>
  <dimension ref="B2:T22"/>
  <sheetViews>
    <sheetView zoomScale="140" zoomScaleNormal="140" workbookViewId="0">
      <pane xSplit="2" topLeftCell="C1" activePane="topRight" state="frozen"/>
      <selection pane="topRight" activeCell="B1" sqref="B1"/>
    </sheetView>
  </sheetViews>
  <sheetFormatPr baseColWidth="10" defaultRowHeight="16" x14ac:dyDescent="0.2"/>
  <cols>
    <col min="1" max="1" width="3.1640625" customWidth="1"/>
    <col min="2" max="2" width="34.33203125" bestFit="1" customWidth="1"/>
    <col min="3" max="3" width="25.1640625" customWidth="1"/>
    <col min="4" max="4" width="3.5" customWidth="1"/>
    <col min="5" max="7" width="23.83203125" customWidth="1"/>
    <col min="8" max="8" width="3.33203125" customWidth="1"/>
    <col min="9" max="12" width="13.5" customWidth="1"/>
    <col min="13" max="14" width="10.6640625" customWidth="1"/>
    <col min="15" max="15" width="4.1640625" customWidth="1"/>
    <col min="16" max="16" width="18" customWidth="1"/>
    <col min="17" max="17" width="3.83203125" style="132" customWidth="1"/>
    <col min="18" max="18" width="19" customWidth="1"/>
    <col min="19" max="19" width="3.6640625" customWidth="1"/>
    <col min="20" max="20" width="19" customWidth="1"/>
    <col min="22" max="22" width="22.83203125" customWidth="1"/>
  </cols>
  <sheetData>
    <row r="2" spans="2:20" x14ac:dyDescent="0.2">
      <c r="E2" s="291" t="s">
        <v>270</v>
      </c>
      <c r="F2" s="291"/>
      <c r="G2" s="291"/>
      <c r="I2" s="292" t="s">
        <v>348</v>
      </c>
      <c r="J2" s="292"/>
      <c r="K2" s="292"/>
      <c r="L2" s="292"/>
      <c r="M2" s="292"/>
      <c r="N2" s="133"/>
      <c r="P2" s="194"/>
      <c r="Q2" s="134"/>
      <c r="S2" s="135"/>
    </row>
    <row r="3" spans="2:20" ht="34" x14ac:dyDescent="0.2">
      <c r="B3" s="63" t="s">
        <v>95</v>
      </c>
      <c r="C3" s="136" t="s">
        <v>335</v>
      </c>
      <c r="D3" s="137"/>
      <c r="E3" s="136" t="s">
        <v>272</v>
      </c>
      <c r="F3" s="136" t="s">
        <v>292</v>
      </c>
      <c r="G3" s="136" t="s">
        <v>273</v>
      </c>
      <c r="I3" s="255">
        <v>1</v>
      </c>
      <c r="J3" s="255">
        <v>0.75</v>
      </c>
      <c r="K3" s="255">
        <v>0.5</v>
      </c>
      <c r="L3" s="255">
        <v>0.25</v>
      </c>
      <c r="M3" s="255">
        <v>0</v>
      </c>
      <c r="N3" s="203" t="s">
        <v>347</v>
      </c>
      <c r="P3" s="202" t="s">
        <v>377</v>
      </c>
      <c r="Q3" s="138"/>
      <c r="R3" s="202" t="s">
        <v>427</v>
      </c>
      <c r="S3" s="137"/>
      <c r="T3" s="202" t="s">
        <v>370</v>
      </c>
    </row>
    <row r="4" spans="2:20" x14ac:dyDescent="0.2">
      <c r="B4" s="1" t="s">
        <v>355</v>
      </c>
      <c r="C4" s="18">
        <f>'Expend, FTE, Headcount, Sq Ft'!E49</f>
        <v>4500</v>
      </c>
      <c r="D4" s="18"/>
      <c r="E4" s="151">
        <f>'Institutional Base Calc'!Y5</f>
        <v>84033723.061732501</v>
      </c>
      <c r="F4" s="151">
        <f>'Instituional Equity Calc'!AF5</f>
        <v>26677816.247186039</v>
      </c>
      <c r="G4" s="151">
        <f t="shared" ref="G4:G8" si="0">F4+E4</f>
        <v>110711539.30891854</v>
      </c>
      <c r="I4" s="16">
        <f>'ESS Subsidy Student Counts'!B4</f>
        <v>0.19399739016963896</v>
      </c>
      <c r="J4" s="16">
        <f>'ESS Subsidy Student Counts'!C4</f>
        <v>1.7675076120052195E-2</v>
      </c>
      <c r="K4" s="16">
        <f>'ESS Subsidy Student Counts'!D4</f>
        <v>0.21220748151370161</v>
      </c>
      <c r="L4" s="16">
        <f>'ESS Subsidy Student Counts'!E4</f>
        <v>0.17409743366681166</v>
      </c>
      <c r="M4" s="16">
        <f>'ESS Subsidy Student Counts'!F4</f>
        <v>0.40202261852979554</v>
      </c>
      <c r="N4" s="16">
        <f t="shared" ref="N4:N8" si="1">I4*I$3+J4*J$3+K4*K$3+L4*L$3+M4*M$3</f>
        <v>0.35688179643323187</v>
      </c>
      <c r="P4" s="19">
        <f t="shared" ref="P4:P8" si="2">N4*E4</f>
        <v>29990106.0472438</v>
      </c>
      <c r="Q4" s="152"/>
      <c r="R4" s="19">
        <f>-'ESS Affordability Adjustment'!F4</f>
        <v>0</v>
      </c>
      <c r="S4" s="19"/>
      <c r="T4" s="19">
        <f>P4+R4</f>
        <v>29990106.0472438</v>
      </c>
    </row>
    <row r="5" spans="2:20" x14ac:dyDescent="0.2">
      <c r="B5" s="1" t="s">
        <v>356</v>
      </c>
      <c r="C5" s="18">
        <f>'Expend, FTE, Headcount, Sq Ft'!E50</f>
        <v>18000</v>
      </c>
      <c r="D5" s="18"/>
      <c r="E5" s="151">
        <f>'Institutional Base Calc'!Y6</f>
        <v>333320935.38022691</v>
      </c>
      <c r="F5" s="151">
        <f>'Instituional Equity Calc'!AF6</f>
        <v>59791533.201408379</v>
      </c>
      <c r="G5" s="151">
        <f t="shared" si="0"/>
        <v>393112468.5816353</v>
      </c>
      <c r="I5" s="16">
        <f>'ESS Subsidy Student Counts'!B5</f>
        <v>0.10650825907977698</v>
      </c>
      <c r="J5" s="16">
        <f>'ESS Subsidy Student Counts'!C5</f>
        <v>3.6838101193267678E-2</v>
      </c>
      <c r="K5" s="16">
        <f>'ESS Subsidy Student Counts'!D5</f>
        <v>0.32213224949194935</v>
      </c>
      <c r="L5" s="16">
        <f>'ESS Subsidy Student Counts'!E5</f>
        <v>0.24808503986243552</v>
      </c>
      <c r="M5" s="16">
        <f>'ESS Subsidy Student Counts'!F5</f>
        <v>0.28643635037257048</v>
      </c>
      <c r="N5" s="16">
        <f t="shared" si="1"/>
        <v>0.3572242196863113</v>
      </c>
      <c r="P5" s="19">
        <f t="shared" si="2"/>
        <v>119070311.04631294</v>
      </c>
      <c r="Q5" s="152"/>
      <c r="R5" s="19">
        <f>-'ESS Affordability Adjustment'!F5</f>
        <v>0</v>
      </c>
      <c r="S5" s="19"/>
      <c r="T5" s="19">
        <f t="shared" ref="T5:T8" si="3">P5+R5</f>
        <v>119070311.04631294</v>
      </c>
    </row>
    <row r="6" spans="2:20" x14ac:dyDescent="0.2">
      <c r="B6" s="1" t="s">
        <v>357</v>
      </c>
      <c r="C6" s="18">
        <f>'Expend, FTE, Headcount, Sq Ft'!E51</f>
        <v>7000</v>
      </c>
      <c r="D6" s="18"/>
      <c r="E6" s="151">
        <f>'Institutional Base Calc'!Y7</f>
        <v>129824015.99922886</v>
      </c>
      <c r="F6" s="151">
        <f>'Instituional Equity Calc'!AF7</f>
        <v>46093384.145050265</v>
      </c>
      <c r="G6" s="151">
        <f t="shared" si="0"/>
        <v>175917400.14427912</v>
      </c>
      <c r="I6" s="16">
        <f>'ESS Subsidy Student Counts'!B6</f>
        <v>0.13545756569012382</v>
      </c>
      <c r="J6" s="16">
        <f>'ESS Subsidy Student Counts'!C6</f>
        <v>1.3917245545152522E-2</v>
      </c>
      <c r="K6" s="16">
        <f>'ESS Subsidy Student Counts'!D6</f>
        <v>0.12863787375415284</v>
      </c>
      <c r="L6" s="16">
        <f>'ESS Subsidy Student Counts'!E6</f>
        <v>0.17003926306251888</v>
      </c>
      <c r="M6" s="16">
        <f>'ESS Subsidy Student Counts'!F6</f>
        <v>0.55194805194805197</v>
      </c>
      <c r="N6" s="16">
        <f t="shared" si="1"/>
        <v>0.25272425249169439</v>
      </c>
      <c r="P6" s="19">
        <f t="shared" si="2"/>
        <v>32809677.398874886</v>
      </c>
      <c r="Q6" s="152"/>
      <c r="R6" s="19">
        <f>-'ESS Affordability Adjustment'!F6</f>
        <v>-549838.73118136823</v>
      </c>
      <c r="S6" s="19"/>
      <c r="T6" s="19">
        <f t="shared" si="3"/>
        <v>32259838.667693518</v>
      </c>
    </row>
    <row r="7" spans="2:20" x14ac:dyDescent="0.2">
      <c r="B7" s="1" t="s">
        <v>358</v>
      </c>
      <c r="C7" s="18">
        <f>'Expend, FTE, Headcount, Sq Ft'!E52</f>
        <v>13000</v>
      </c>
      <c r="D7" s="18"/>
      <c r="E7" s="151">
        <f>'Institutional Base Calc'!Y8</f>
        <v>255678866.32858384</v>
      </c>
      <c r="F7" s="151">
        <f>'Instituional Equity Calc'!AF8</f>
        <v>66590351.251160309</v>
      </c>
      <c r="G7" s="151">
        <f t="shared" si="0"/>
        <v>322269217.57974416</v>
      </c>
      <c r="I7" s="16">
        <f>'ESS Subsidy Student Counts'!B7</f>
        <v>0.19216230810769111</v>
      </c>
      <c r="J7" s="16">
        <f>'ESS Subsidy Student Counts'!C7</f>
        <v>0.12302090565455527</v>
      </c>
      <c r="K7" s="16">
        <f>'ESS Subsidy Student Counts'!D7</f>
        <v>4.0212913677389488E-2</v>
      </c>
      <c r="L7" s="16">
        <f>'ESS Subsidy Student Counts'!E7</f>
        <v>0.28349919000231427</v>
      </c>
      <c r="M7" s="16">
        <f>'ESS Subsidy Student Counts'!F7</f>
        <v>0.36110468255804984</v>
      </c>
      <c r="N7" s="16">
        <f t="shared" si="1"/>
        <v>0.37540924168788087</v>
      </c>
      <c r="P7" s="19">
        <f t="shared" si="2"/>
        <v>95984209.324030712</v>
      </c>
      <c r="Q7" s="152"/>
      <c r="R7" s="19">
        <f>-'ESS Affordability Adjustment'!F7</f>
        <v>-4216580.2097677439</v>
      </c>
      <c r="S7" s="19"/>
      <c r="T7" s="19">
        <f t="shared" si="3"/>
        <v>91767629.114262968</v>
      </c>
    </row>
    <row r="8" spans="2:20" x14ac:dyDescent="0.2">
      <c r="B8" s="1" t="s">
        <v>376</v>
      </c>
      <c r="C8" s="18">
        <f>'Expend, FTE, Headcount, Sq Ft'!E53</f>
        <v>8000</v>
      </c>
      <c r="D8" s="18"/>
      <c r="E8" s="151">
        <f>'Institutional Base Calc'!Y9</f>
        <v>145960445.36800438</v>
      </c>
      <c r="F8" s="151">
        <f>'Instituional Equity Calc'!AF9</f>
        <v>45497980.740522556</v>
      </c>
      <c r="G8" s="151">
        <f t="shared" si="0"/>
        <v>191458426.10852695</v>
      </c>
      <c r="I8" s="16">
        <f>'ESS Subsidy Student Counts'!B8</f>
        <v>0.2180947450168263</v>
      </c>
      <c r="J8" s="16">
        <f>'ESS Subsidy Student Counts'!C8</f>
        <v>5.5852964017602896E-2</v>
      </c>
      <c r="K8" s="16">
        <f>'ESS Subsidy Student Counts'!D8</f>
        <v>8.8464923634480996E-2</v>
      </c>
      <c r="L8" s="16">
        <f>'ESS Subsidy Student Counts'!E8</f>
        <v>0.23867460522909656</v>
      </c>
      <c r="M8" s="16">
        <f>'ESS Subsidy Student Counts'!F8</f>
        <v>0.39891276210199328</v>
      </c>
      <c r="N8" s="16">
        <f t="shared" si="1"/>
        <v>0.36388558115454306</v>
      </c>
      <c r="P8" s="19">
        <f t="shared" si="2"/>
        <v>53112901.488312207</v>
      </c>
      <c r="Q8" s="152"/>
      <c r="R8" s="19">
        <f>-'ESS Affordability Adjustment'!F8</f>
        <v>0</v>
      </c>
      <c r="S8" s="19"/>
      <c r="T8" s="19">
        <f t="shared" si="3"/>
        <v>53112901.488312207</v>
      </c>
    </row>
    <row r="9" spans="2:20" ht="16" customHeight="1" x14ac:dyDescent="0.2">
      <c r="B9" s="1"/>
      <c r="C9" s="1"/>
      <c r="D9" s="1"/>
      <c r="E9" s="140"/>
      <c r="G9" s="140"/>
      <c r="P9" s="28"/>
      <c r="Q9" s="28"/>
      <c r="R9" s="141"/>
      <c r="S9" s="204"/>
      <c r="T9" s="141"/>
    </row>
    <row r="10" spans="2:20" ht="15" customHeight="1" x14ac:dyDescent="0.2">
      <c r="B10" s="154" t="s">
        <v>294</v>
      </c>
      <c r="C10" s="182" t="str">
        <f>'Per Student Base Funding'!K22</f>
        <v>$19188 - $20388</v>
      </c>
      <c r="D10" s="24"/>
      <c r="F10" s="140"/>
      <c r="P10" s="28"/>
      <c r="Q10" s="293" t="s">
        <v>454</v>
      </c>
      <c r="R10" s="293"/>
      <c r="S10" s="293"/>
      <c r="T10" s="141"/>
    </row>
    <row r="11" spans="2:20" ht="15" x14ac:dyDescent="0.2">
      <c r="B11" s="154" t="s">
        <v>309</v>
      </c>
      <c r="C11" s="155">
        <v>24067</v>
      </c>
      <c r="P11" s="28"/>
      <c r="Q11" s="293"/>
      <c r="R11" s="293"/>
      <c r="S11" s="293"/>
      <c r="T11" s="141"/>
    </row>
    <row r="12" spans="2:20" ht="15" x14ac:dyDescent="0.2">
      <c r="P12" s="28"/>
      <c r="Q12" s="293"/>
      <c r="R12" s="293"/>
      <c r="S12" s="293"/>
      <c r="T12" s="141"/>
    </row>
    <row r="13" spans="2:20" ht="15" x14ac:dyDescent="0.2">
      <c r="P13" s="28"/>
      <c r="Q13" s="293"/>
      <c r="R13" s="293"/>
      <c r="S13" s="293"/>
      <c r="T13" s="139"/>
    </row>
    <row r="14" spans="2:20" x14ac:dyDescent="0.2">
      <c r="C14" s="268"/>
      <c r="P14" s="28"/>
      <c r="Q14" s="293"/>
      <c r="R14" s="293"/>
      <c r="S14" s="293"/>
    </row>
    <row r="15" spans="2:20" ht="15" x14ac:dyDescent="0.2">
      <c r="C15" s="48"/>
      <c r="P15" s="28"/>
      <c r="Q15" s="293"/>
      <c r="R15" s="293"/>
      <c r="S15" s="293"/>
    </row>
    <row r="16" spans="2:20" ht="15" x14ac:dyDescent="0.2">
      <c r="P16" s="28"/>
      <c r="Q16" s="293"/>
      <c r="R16" s="293"/>
      <c r="S16" s="293"/>
    </row>
    <row r="17" spans="16:19" ht="15" x14ac:dyDescent="0.2">
      <c r="P17" s="28"/>
      <c r="Q17" s="293"/>
      <c r="R17" s="293"/>
      <c r="S17" s="293"/>
    </row>
    <row r="18" spans="16:19" ht="15" x14ac:dyDescent="0.2">
      <c r="P18" s="28"/>
      <c r="Q18" s="293"/>
      <c r="R18" s="293"/>
      <c r="S18" s="293"/>
    </row>
    <row r="19" spans="16:19" ht="15" x14ac:dyDescent="0.2">
      <c r="P19" s="28"/>
      <c r="Q19" s="293"/>
      <c r="R19" s="293"/>
      <c r="S19" s="293"/>
    </row>
    <row r="20" spans="16:19" ht="15" x14ac:dyDescent="0.2">
      <c r="P20" s="28"/>
      <c r="Q20" s="293"/>
      <c r="R20" s="293"/>
      <c r="S20" s="293"/>
    </row>
    <row r="21" spans="16:19" ht="15" x14ac:dyDescent="0.2">
      <c r="P21" s="28"/>
      <c r="Q21" s="293"/>
      <c r="R21" s="293"/>
      <c r="S21" s="293"/>
    </row>
    <row r="22" spans="16:19" ht="16" customHeight="1" x14ac:dyDescent="0.2">
      <c r="Q22" s="293"/>
      <c r="R22" s="293"/>
      <c r="S22" s="293"/>
    </row>
  </sheetData>
  <sheetProtection algorithmName="SHA-512" hashValue="nGypvoyqUaAzymkSinF3c8eiZylxvYhI/DWbCNdaZhL5KrMfgvy+aOfLSZ2MAs+JMLg4qmqw0bzT+NwNZ3kR5w==" saltValue="ViejxY+LHKU0RD6OAFANUA==" spinCount="100000" sheet="1" objects="1" scenarios="1"/>
  <mergeCells count="3">
    <mergeCell ref="E2:G2"/>
    <mergeCell ref="I2:M2"/>
    <mergeCell ref="Q10:S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3CB00-ED4C-E841-9795-E572A2B8F135}">
  <sheetPr>
    <tabColor rgb="FF002060"/>
  </sheetPr>
  <dimension ref="B2:O17"/>
  <sheetViews>
    <sheetView showGridLines="0" zoomScale="150" zoomScaleNormal="150" workbookViewId="0">
      <selection activeCell="B1" sqref="B1"/>
    </sheetView>
  </sheetViews>
  <sheetFormatPr baseColWidth="10" defaultRowHeight="15" x14ac:dyDescent="0.2"/>
  <cols>
    <col min="1" max="1" width="3" customWidth="1"/>
    <col min="2" max="2" width="26.83203125" customWidth="1"/>
    <col min="3" max="3" width="1.83203125" customWidth="1"/>
    <col min="4" max="4" width="16.1640625" customWidth="1"/>
    <col min="5" max="5" width="1.83203125" customWidth="1"/>
    <col min="6" max="6" width="14" customWidth="1"/>
    <col min="7" max="7" width="1.83203125" customWidth="1"/>
    <col min="8" max="8" width="14.33203125" customWidth="1"/>
    <col min="9" max="9" width="1.83203125" customWidth="1"/>
    <col min="10" max="10" width="14" customWidth="1"/>
    <col min="11" max="11" width="1.83203125" customWidth="1"/>
    <col min="12" max="12" width="16.1640625" customWidth="1"/>
    <col min="13" max="13" width="14.6640625" bestFit="1" customWidth="1"/>
  </cols>
  <sheetData>
    <row r="2" spans="2:15" ht="43" customHeight="1" x14ac:dyDescent="0.2">
      <c r="B2" s="45" t="s">
        <v>299</v>
      </c>
      <c r="D2" s="69" t="s">
        <v>295</v>
      </c>
      <c r="F2" s="37" t="s">
        <v>231</v>
      </c>
      <c r="H2" s="69" t="s">
        <v>250</v>
      </c>
      <c r="J2" s="37" t="s">
        <v>292</v>
      </c>
      <c r="L2" s="69" t="s">
        <v>235</v>
      </c>
    </row>
    <row r="3" spans="2:15" x14ac:dyDescent="0.2">
      <c r="B3" s="181" t="s">
        <v>113</v>
      </c>
      <c r="D3" s="43">
        <f>'Per Student Base Funding'!G8</f>
        <v>1094.2237017865266</v>
      </c>
      <c r="E3" s="294"/>
      <c r="F3" s="169">
        <f>'Per Student Base Funding'!I8</f>
        <v>0</v>
      </c>
      <c r="G3" s="294"/>
      <c r="H3" s="43">
        <f>F3+D3</f>
        <v>1094.2237017865266</v>
      </c>
      <c r="I3" s="294"/>
      <c r="J3" s="144" t="str">
        <f>'Equity Adjustment Amounts'!X4</f>
        <v>$500-$1,000</v>
      </c>
      <c r="K3" s="294"/>
      <c r="L3" s="167" t="str">
        <f>CONCATENATE("$",ROUND(H3,0)," - $",ROUND(H3+'Equity Adjustment Amounts'!E4,0))</f>
        <v>$1094 - $2094</v>
      </c>
      <c r="N3" s="48"/>
      <c r="O3" s="48"/>
    </row>
    <row r="4" spans="2:15" x14ac:dyDescent="0.2">
      <c r="B4" s="121" t="s">
        <v>112</v>
      </c>
      <c r="D4" s="43">
        <f>'Per Student Base Funding'!G9</f>
        <v>1094.2237017865266</v>
      </c>
      <c r="E4" s="294"/>
      <c r="F4" s="169">
        <f>'Per Student Base Funding'!I9</f>
        <v>0</v>
      </c>
      <c r="G4" s="294"/>
      <c r="H4" s="43">
        <f t="shared" ref="H4:H6" si="0">F4+D4</f>
        <v>1094.2237017865266</v>
      </c>
      <c r="I4" s="294"/>
      <c r="J4" s="295" t="str">
        <f>'Equity Adjustment Amounts'!X5</f>
        <v>$2,000-$8,000</v>
      </c>
      <c r="K4" s="294"/>
      <c r="L4" s="296" t="str">
        <f>CONCATENATE("$",ROUND(SUM(H4:H5),0)," - $",ROUND(SUM(H4:H5)+'Equity Adjustment Amounts'!H10,0))</f>
        <v>$2120 - $10120</v>
      </c>
    </row>
    <row r="5" spans="2:15" x14ac:dyDescent="0.2">
      <c r="B5" s="121" t="s">
        <v>0</v>
      </c>
      <c r="D5" s="43">
        <f>'Per Student Base Funding'!G10</f>
        <v>1025.8134493961556</v>
      </c>
      <c r="E5" s="294"/>
      <c r="F5" s="169">
        <f>'Per Student Base Funding'!I10</f>
        <v>0</v>
      </c>
      <c r="G5" s="294"/>
      <c r="H5" s="43">
        <f t="shared" si="0"/>
        <v>1025.8134493961556</v>
      </c>
      <c r="I5" s="294"/>
      <c r="J5" s="295"/>
      <c r="K5" s="294"/>
      <c r="L5" s="296"/>
    </row>
    <row r="6" spans="2:15" x14ac:dyDescent="0.2">
      <c r="B6" s="156" t="s">
        <v>114</v>
      </c>
      <c r="C6" s="52"/>
      <c r="D6" s="70">
        <f>'Per Student Base Funding'!G11</f>
        <v>10952.696705830351</v>
      </c>
      <c r="E6" s="297"/>
      <c r="F6" s="172">
        <f>'Per Student Base Funding'!I11</f>
        <v>0</v>
      </c>
      <c r="G6" s="297"/>
      <c r="H6" s="70">
        <f t="shared" si="0"/>
        <v>10952.696705830351</v>
      </c>
      <c r="I6" s="297"/>
      <c r="J6" s="157" t="str">
        <f>'Equity Adjustment Amounts'!X7</f>
        <v>$422-$4,451</v>
      </c>
      <c r="K6" s="297"/>
      <c r="L6" s="173" t="str">
        <f>CONCATENATE("$",ROUND(H6+'Equity Adjustment Amounts'!O7,0)," - $",ROUND(H6+'Equity Adjustment Amounts'!P7+'Equity Adjustment Amounts'!O7,0))</f>
        <v>$11375 - $14470</v>
      </c>
      <c r="M6" s="19"/>
    </row>
    <row r="7" spans="2:15" x14ac:dyDescent="0.2">
      <c r="B7" s="23" t="s">
        <v>277</v>
      </c>
      <c r="D7" s="24">
        <f>SUM(D3:D6)</f>
        <v>14166.957558799561</v>
      </c>
      <c r="F7" s="158">
        <f>SUM(F3:F6)</f>
        <v>0</v>
      </c>
      <c r="H7" s="24">
        <f>SUM(H3:H6)</f>
        <v>14166.957558799561</v>
      </c>
      <c r="J7" s="74" t="str">
        <f>'Equity Adjustment Amounts'!X10</f>
        <v>$242-$13,936</v>
      </c>
      <c r="L7" s="158" t="str">
        <f>CONCATENATE("$",ROUND(H7+'Equity Adjustment Amounts'!O7,0)," - $",ROUND(H7+'Equity Adjustment Amounts'!E10+'Equity Adjustment Amounts'!H10+'Equity Adjustment Amounts'!O10+'Equity Adjustment Amounts'!P10,0))</f>
        <v>$14589 - $26684</v>
      </c>
      <c r="M7" s="19"/>
      <c r="N7" s="19"/>
    </row>
    <row r="8" spans="2:15" ht="13" customHeight="1" x14ac:dyDescent="0.2">
      <c r="M8" s="19"/>
    </row>
    <row r="9" spans="2:15" ht="32" x14ac:dyDescent="0.2">
      <c r="F9" s="37" t="s">
        <v>171</v>
      </c>
      <c r="H9" s="69" t="s">
        <v>244</v>
      </c>
      <c r="J9" s="37" t="s">
        <v>292</v>
      </c>
      <c r="L9" s="69" t="s">
        <v>235</v>
      </c>
    </row>
    <row r="10" spans="2:15" x14ac:dyDescent="0.2">
      <c r="F10" s="126" t="str">
        <f>'Per Student Base Funding'!I18</f>
        <v>Mission (Research, Public Service, Artistry)</v>
      </c>
      <c r="H10" s="179" t="str">
        <f>'Per Student Base Funding'!K18</f>
        <v>$800 - $2000</v>
      </c>
      <c r="I10" s="294" t="s">
        <v>233</v>
      </c>
      <c r="J10" s="193" t="s">
        <v>253</v>
      </c>
      <c r="K10" s="294" t="s">
        <v>234</v>
      </c>
      <c r="L10" s="179" t="str">
        <f>H10</f>
        <v>$800 - $2000</v>
      </c>
    </row>
    <row r="11" spans="2:15" x14ac:dyDescent="0.2">
      <c r="F11" s="126" t="str">
        <f>'Per Student Base Funding'!I19</f>
        <v>Institutional Support</v>
      </c>
      <c r="H11" s="43">
        <f>'Per Student Base Funding'!K19</f>
        <v>1720</v>
      </c>
      <c r="I11" s="294"/>
      <c r="J11" s="102" t="str">
        <f>'Equity Adjustment Amounts'!X9</f>
        <v>$242-$485</v>
      </c>
      <c r="K11" s="294"/>
      <c r="L11" s="179" t="str">
        <f>CONCATENATE("$",ROUND(H11+'Equity Adjustment Amounts'!V8,0)," - $",ROUND(H11+'Equity Adjustment Amounts'!V9,0))</f>
        <v>$1720 - $1978</v>
      </c>
    </row>
    <row r="12" spans="2:15" x14ac:dyDescent="0.2">
      <c r="F12" s="126" t="s">
        <v>300</v>
      </c>
      <c r="H12" s="233" t="str">
        <f>'Per Student Base Funding'!K20</f>
        <v>$9 - $10</v>
      </c>
      <c r="I12" s="294"/>
      <c r="J12" s="102" t="s">
        <v>17</v>
      </c>
      <c r="K12" s="294"/>
      <c r="L12" s="233" t="str">
        <f>H12</f>
        <v>$9 - $10</v>
      </c>
      <c r="M12" s="19"/>
    </row>
    <row r="13" spans="2:15" ht="13" customHeight="1" x14ac:dyDescent="0.2">
      <c r="L13" s="159"/>
      <c r="N13" s="19"/>
    </row>
    <row r="14" spans="2:15" x14ac:dyDescent="0.2">
      <c r="J14" s="74" t="s">
        <v>298</v>
      </c>
      <c r="L14" s="160" t="str">
        <f>CONCATENATE("$",ROUND(14589+800+1720+'Per Student Base Funding'!K36,0)," - $",ROUND(26684+2000+1978+'Per Student Base Funding'!K36,0))</f>
        <v>$19610 - $33163</v>
      </c>
    </row>
    <row r="16" spans="2:15" x14ac:dyDescent="0.2">
      <c r="L16" s="159"/>
    </row>
    <row r="17" spans="5:12" x14ac:dyDescent="0.2">
      <c r="E17" s="50"/>
      <c r="F17" s="50" t="s">
        <v>457</v>
      </c>
      <c r="G17" s="50"/>
      <c r="H17" s="50"/>
      <c r="I17" s="50"/>
      <c r="J17" s="50"/>
      <c r="K17" s="50"/>
      <c r="L17" s="50"/>
    </row>
  </sheetData>
  <sheetProtection algorithmName="SHA-512" hashValue="qILANtv++qgQeSw2vriV9gu8HAOcbgSibfiDI7ytm7csV9VJP5Uno27fOmFvVAYBgIZDwZEB+xpLwaeF2j18Yg==" saltValue="B/ZEXGE0TzHv1KFuTUvPKw==" spinCount="100000" sheet="1" objects="1" scenarios="1"/>
  <mergeCells count="8">
    <mergeCell ref="I10:I12"/>
    <mergeCell ref="K10:K12"/>
    <mergeCell ref="J4:J5"/>
    <mergeCell ref="L4:L5"/>
    <mergeCell ref="E3:E6"/>
    <mergeCell ref="G3:G6"/>
    <mergeCell ref="I3:I6"/>
    <mergeCell ref="K3:K6"/>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206C7-13F4-B046-A2F9-BC44D46FF3CB}">
  <sheetPr>
    <tabColor rgb="FF002060"/>
  </sheetPr>
  <dimension ref="A1:R38"/>
  <sheetViews>
    <sheetView showGridLines="0" zoomScale="130" zoomScaleNormal="130" workbookViewId="0">
      <selection activeCell="B1" sqref="B1"/>
    </sheetView>
  </sheetViews>
  <sheetFormatPr baseColWidth="10" defaultRowHeight="15" x14ac:dyDescent="0.2"/>
  <cols>
    <col min="1" max="1" width="3.33203125" customWidth="1"/>
    <col min="2" max="2" width="34.33203125" customWidth="1"/>
    <col min="3" max="7" width="18.5" customWidth="1"/>
    <col min="8" max="8" width="2.6640625" customWidth="1"/>
    <col min="9" max="9" width="18.5" customWidth="1"/>
    <col min="10" max="10" width="2.6640625" customWidth="1"/>
    <col min="11" max="11" width="14.5" customWidth="1"/>
    <col min="12" max="12" width="3.83203125" customWidth="1"/>
    <col min="13" max="14" width="20.83203125" customWidth="1"/>
    <col min="15" max="15" width="3.6640625" customWidth="1"/>
    <col min="16" max="16" width="24.83203125" bestFit="1" customWidth="1"/>
    <col min="17" max="17" width="3.83203125" customWidth="1"/>
    <col min="18" max="20" width="21" customWidth="1"/>
    <col min="21" max="21" width="3.6640625" customWidth="1"/>
    <col min="22" max="22" width="24.33203125" customWidth="1"/>
    <col min="23" max="23" width="3.6640625" customWidth="1"/>
    <col min="24" max="24" width="24.33203125" customWidth="1"/>
  </cols>
  <sheetData>
    <row r="1" spans="1:18" ht="19" x14ac:dyDescent="0.25">
      <c r="B1" s="103" t="s">
        <v>187</v>
      </c>
      <c r="C1" s="103"/>
      <c r="D1" s="103"/>
      <c r="E1" s="103"/>
      <c r="F1" s="103"/>
      <c r="G1" s="103"/>
    </row>
    <row r="2" spans="1:18" ht="19" customHeight="1" x14ac:dyDescent="0.25">
      <c r="B2" s="103"/>
      <c r="C2" s="103"/>
      <c r="D2" s="103"/>
      <c r="E2" s="103"/>
      <c r="F2" s="103"/>
      <c r="G2" s="28"/>
    </row>
    <row r="3" spans="1:18" ht="19" x14ac:dyDescent="0.25">
      <c r="B3" s="103" t="s">
        <v>243</v>
      </c>
      <c r="C3" s="106">
        <f>'Expend, FTE, Headcount, Sq Ft'!B54</f>
        <v>184757</v>
      </c>
      <c r="D3" s="103"/>
      <c r="F3" s="103"/>
      <c r="G3" s="28"/>
    </row>
    <row r="4" spans="1:18" ht="19" x14ac:dyDescent="0.25">
      <c r="B4" s="103" t="s">
        <v>321</v>
      </c>
      <c r="C4" s="106">
        <f>'Expend, FTE, Headcount, Sq Ft'!E54</f>
        <v>180734</v>
      </c>
      <c r="D4" s="103"/>
      <c r="F4" s="103"/>
      <c r="G4" s="28"/>
    </row>
    <row r="5" spans="1:18" ht="19" x14ac:dyDescent="0.25">
      <c r="A5" s="47"/>
      <c r="B5" s="103" t="s">
        <v>263</v>
      </c>
      <c r="C5" s="106">
        <f>'Expend, FTE, Headcount, Sq Ft'!B46</f>
        <v>49252985</v>
      </c>
      <c r="G5" s="28"/>
    </row>
    <row r="6" spans="1:18" s="53" customFormat="1" ht="34" customHeight="1" x14ac:dyDescent="0.2">
      <c r="A6" s="47"/>
      <c r="C6" s="313" t="s">
        <v>150</v>
      </c>
      <c r="D6" s="313"/>
      <c r="E6" s="313"/>
      <c r="F6" s="313"/>
      <c r="G6" s="313"/>
      <c r="H6" s="57"/>
    </row>
    <row r="7" spans="1:18" s="53" customFormat="1" ht="45" customHeight="1" x14ac:dyDescent="0.2">
      <c r="A7" s="47"/>
      <c r="B7" s="37" t="s">
        <v>264</v>
      </c>
      <c r="C7" s="37" t="s">
        <v>228</v>
      </c>
      <c r="D7" s="37" t="s">
        <v>229</v>
      </c>
      <c r="E7" s="37" t="s">
        <v>260</v>
      </c>
      <c r="F7" s="37" t="s">
        <v>261</v>
      </c>
      <c r="G7" s="69" t="s">
        <v>455</v>
      </c>
      <c r="H7" s="55"/>
      <c r="I7" s="54" t="s">
        <v>231</v>
      </c>
      <c r="K7" s="69" t="s">
        <v>244</v>
      </c>
      <c r="M7" s="281" t="s">
        <v>458</v>
      </c>
      <c r="N7" s="281"/>
      <c r="O7" s="281"/>
      <c r="P7" s="281"/>
      <c r="Q7" s="281"/>
      <c r="R7" s="281"/>
    </row>
    <row r="8" spans="1:18" x14ac:dyDescent="0.2">
      <c r="A8" s="47"/>
      <c r="B8" s="121" t="s">
        <v>113</v>
      </c>
      <c r="C8" s="191">
        <f>0.5*'Expend, FTE, Headcount, Sq Ft'!B7*1000</f>
        <v>152760016.1786862</v>
      </c>
      <c r="D8" s="191">
        <f>0.5*'Expend, FTE, Headcount, Sq Ft'!C7*1000</f>
        <v>197763426.51868612</v>
      </c>
      <c r="E8" s="19">
        <f>C8/C$4</f>
        <v>845.22013665766372</v>
      </c>
      <c r="F8" s="19">
        <f>D8/C$4</f>
        <v>1094.2237017865266</v>
      </c>
      <c r="G8" s="43">
        <f>F8</f>
        <v>1094.2237017865266</v>
      </c>
      <c r="H8" s="19"/>
      <c r="I8" s="171">
        <f>G8/SUM(G$8:G$10)*($K$24*(SUM($G$8:$G$10)/$G$15))</f>
        <v>0</v>
      </c>
      <c r="J8" s="19"/>
      <c r="K8" s="43">
        <f>I8+G8</f>
        <v>1094.2237017865266</v>
      </c>
      <c r="M8" s="281"/>
      <c r="N8" s="281"/>
      <c r="O8" s="281"/>
      <c r="P8" s="281"/>
      <c r="Q8" s="281"/>
      <c r="R8" s="281"/>
    </row>
    <row r="9" spans="1:18" x14ac:dyDescent="0.2">
      <c r="A9" s="47"/>
      <c r="B9" s="121" t="s">
        <v>112</v>
      </c>
      <c r="C9" s="191">
        <f>0.5*'Expend, FTE, Headcount, Sq Ft'!B7*1000</f>
        <v>152760016.1786862</v>
      </c>
      <c r="D9" s="191">
        <f>0.5*'Expend, FTE, Headcount, Sq Ft'!C7*1000</f>
        <v>197763426.51868612</v>
      </c>
      <c r="E9" s="19">
        <f>C9/C$4</f>
        <v>845.22013665766372</v>
      </c>
      <c r="F9" s="19">
        <f>D9/C$4</f>
        <v>1094.2237017865266</v>
      </c>
      <c r="G9" s="43">
        <f>F9</f>
        <v>1094.2237017865266</v>
      </c>
      <c r="H9" s="19"/>
      <c r="I9" s="171">
        <f>G9/SUM(G$8:G$10)*($K$24*(SUM($G$8:$G$10)/$G$15))</f>
        <v>0</v>
      </c>
      <c r="J9" s="19"/>
      <c r="K9" s="43">
        <f t="shared" ref="K9:K10" si="0">I9+G9</f>
        <v>1094.2237017865266</v>
      </c>
      <c r="M9" s="281"/>
      <c r="N9" s="281"/>
      <c r="O9" s="281"/>
      <c r="P9" s="281"/>
      <c r="Q9" s="281"/>
      <c r="R9" s="281"/>
    </row>
    <row r="10" spans="1:18" x14ac:dyDescent="0.2">
      <c r="A10" s="47"/>
      <c r="B10" s="121" t="s">
        <v>0</v>
      </c>
      <c r="C10" s="29">
        <f>'Expend, FTE, Headcount, Sq Ft'!B8*1000</f>
        <v>58657071.193164848</v>
      </c>
      <c r="D10" s="29">
        <f>'Expend, FTE, Headcount, Sq Ft'!C8*1000</f>
        <v>185399367.96316481</v>
      </c>
      <c r="E10" s="19">
        <f>C10/C$4</f>
        <v>324.54917831268523</v>
      </c>
      <c r="F10" s="19">
        <f>D10/C$4</f>
        <v>1025.8134493961556</v>
      </c>
      <c r="G10" s="43">
        <f>F10</f>
        <v>1025.8134493961556</v>
      </c>
      <c r="H10" s="19"/>
      <c r="I10" s="171">
        <f>G10/SUM(G$8:G$10)*($K$24*(SUM($G$8:$G$10)/$G$15))</f>
        <v>0</v>
      </c>
      <c r="J10" s="19"/>
      <c r="K10" s="43">
        <f t="shared" si="0"/>
        <v>1025.8134493961556</v>
      </c>
      <c r="M10" s="281"/>
      <c r="N10" s="281"/>
      <c r="O10" s="281"/>
      <c r="P10" s="281"/>
      <c r="Q10" s="281"/>
      <c r="R10" s="281"/>
    </row>
    <row r="11" spans="1:18" x14ac:dyDescent="0.2">
      <c r="A11" s="47"/>
      <c r="B11" s="121" t="s">
        <v>114</v>
      </c>
      <c r="C11" s="29">
        <f>'Expend, FTE, Headcount, Sq Ft'!B4*1000</f>
        <v>1527787760.3415427</v>
      </c>
      <c r="D11" s="29">
        <f>('Expend, FTE, Headcount, Sq Ft'!C4)*1000</f>
        <v>1979524686.4315426</v>
      </c>
      <c r="E11" s="19">
        <f>C11/C$4</f>
        <v>8453.2393481112722</v>
      </c>
      <c r="F11" s="19">
        <f>D11/C$4</f>
        <v>10952.696705830351</v>
      </c>
      <c r="G11" s="43">
        <f>F11</f>
        <v>10952.696705830351</v>
      </c>
      <c r="H11" s="19"/>
      <c r="I11" s="171">
        <f>$K$24*(G11/$G$15)</f>
        <v>0</v>
      </c>
      <c r="J11" s="19"/>
      <c r="K11" s="170">
        <f>I11+G11</f>
        <v>10952.696705830351</v>
      </c>
      <c r="M11" s="281"/>
      <c r="N11" s="281"/>
      <c r="O11" s="281"/>
      <c r="P11" s="281"/>
      <c r="Q11" s="281"/>
      <c r="R11" s="281"/>
    </row>
    <row r="12" spans="1:18" x14ac:dyDescent="0.2">
      <c r="A12" s="47"/>
      <c r="B12" s="76" t="s">
        <v>289</v>
      </c>
      <c r="C12" s="77"/>
      <c r="D12" s="77"/>
      <c r="E12" s="78"/>
      <c r="F12" s="78"/>
      <c r="G12" s="78"/>
      <c r="H12" s="78"/>
      <c r="I12" s="78"/>
      <c r="J12" s="78"/>
      <c r="K12" s="78">
        <f>'High-Cost Programs'!B23</f>
        <v>12379.434714583327</v>
      </c>
      <c r="M12" s="281" t="s">
        <v>459</v>
      </c>
      <c r="N12" s="281"/>
    </row>
    <row r="13" spans="1:18" x14ac:dyDescent="0.2">
      <c r="A13" s="47"/>
      <c r="B13" s="76" t="s">
        <v>296</v>
      </c>
      <c r="C13" s="77"/>
      <c r="D13" s="77"/>
      <c r="E13" s="78"/>
      <c r="F13" s="78"/>
      <c r="G13" s="78"/>
      <c r="H13" s="78"/>
      <c r="I13" s="78"/>
      <c r="J13" s="78"/>
      <c r="K13" s="78">
        <f>'High-Cost Programs'!B22</f>
        <v>20632.391190972212</v>
      </c>
      <c r="M13" s="281"/>
      <c r="N13" s="281"/>
    </row>
    <row r="14" spans="1:18" x14ac:dyDescent="0.2">
      <c r="A14" s="47"/>
      <c r="B14" s="76" t="s">
        <v>190</v>
      </c>
      <c r="C14" s="77"/>
      <c r="D14" s="77"/>
      <c r="E14" s="78"/>
      <c r="F14" s="78"/>
      <c r="G14" s="78"/>
      <c r="H14" s="78"/>
      <c r="I14" s="78"/>
      <c r="J14" s="78"/>
      <c r="K14" s="78">
        <f>'High-Cost Programs'!B21</f>
        <v>10316.195595486106</v>
      </c>
      <c r="M14" s="281"/>
      <c r="N14" s="281"/>
    </row>
    <row r="15" spans="1:18" x14ac:dyDescent="0.2">
      <c r="A15" s="47"/>
      <c r="B15" s="127" t="s">
        <v>277</v>
      </c>
      <c r="C15" s="128">
        <f>SUM(C8:C11)</f>
        <v>1891964863.8920798</v>
      </c>
      <c r="D15" s="128">
        <f>SUM(D8:D11)</f>
        <v>2560450907.4320798</v>
      </c>
      <c r="E15" s="128">
        <f>SUM(E8:E11)</f>
        <v>10468.228799739285</v>
      </c>
      <c r="F15" s="128">
        <f>SUM(F8:F11)</f>
        <v>14166.957558799561</v>
      </c>
      <c r="G15" s="128">
        <f>SUM(G8:G11)</f>
        <v>14166.957558799561</v>
      </c>
      <c r="H15" s="114"/>
      <c r="I15" s="128">
        <f>SUM(I8:I11)</f>
        <v>0</v>
      </c>
      <c r="J15" s="114"/>
      <c r="K15" s="128">
        <f>SUM(K8:K11)</f>
        <v>14166.957558799561</v>
      </c>
    </row>
    <row r="16" spans="1:18" x14ac:dyDescent="0.2">
      <c r="D16" s="29"/>
      <c r="E16" s="29"/>
      <c r="G16" s="29"/>
    </row>
    <row r="17" spans="2:14" ht="16" x14ac:dyDescent="0.2">
      <c r="F17" s="29"/>
      <c r="I17" s="54" t="s">
        <v>171</v>
      </c>
      <c r="K17" s="69" t="s">
        <v>265</v>
      </c>
    </row>
    <row r="18" spans="2:14" x14ac:dyDescent="0.2">
      <c r="I18" s="126" t="s">
        <v>168</v>
      </c>
      <c r="K18" s="73" t="str">
        <f>CONCATENATE("$",K28," - $",K26)</f>
        <v>$800 - $2000</v>
      </c>
    </row>
    <row r="19" spans="2:14" x14ac:dyDescent="0.2">
      <c r="I19" s="126" t="s">
        <v>269</v>
      </c>
      <c r="K19" s="44">
        <f>'Per Student Base Funding'!K29</f>
        <v>1720</v>
      </c>
    </row>
    <row r="20" spans="2:14" x14ac:dyDescent="0.2">
      <c r="B20" s="67" t="s">
        <v>177</v>
      </c>
      <c r="C20" s="25"/>
      <c r="I20" s="126" t="s">
        <v>290</v>
      </c>
      <c r="K20" s="73" t="str">
        <f>CONCATENATE("$",ROUND(K30+K33,0)," - $",ROUND(K32+K33,0))</f>
        <v>$9 - $10</v>
      </c>
    </row>
    <row r="21" spans="2:14" ht="33" customHeight="1" x14ac:dyDescent="0.2">
      <c r="B21" s="298" t="s">
        <v>178</v>
      </c>
      <c r="C21" s="298"/>
      <c r="D21" s="298"/>
      <c r="F21" s="48"/>
      <c r="I21" s="142" t="s">
        <v>330</v>
      </c>
      <c r="J21" s="53"/>
      <c r="K21" s="176" t="str">
        <f>CONCATENATE("$",ROUND(K19+K28+K15,0)," - $",ROUND(K19+K26+K15,0))</f>
        <v>$16687 - $17887</v>
      </c>
    </row>
    <row r="22" spans="2:14" ht="51" customHeight="1" x14ac:dyDescent="0.2">
      <c r="B22" s="317" t="s">
        <v>266</v>
      </c>
      <c r="C22" s="317"/>
      <c r="D22" s="317"/>
      <c r="F22" s="48"/>
      <c r="I22" s="142" t="s">
        <v>329</v>
      </c>
      <c r="J22" s="53"/>
      <c r="K22" s="178" t="str">
        <f>CONCATENATE("$",ROUND(K19+K28+K15+K36,0)," - $",ROUND(K19+K26+K15+K36,0))</f>
        <v>$19188 - $20388</v>
      </c>
    </row>
    <row r="23" spans="2:14" ht="27" customHeight="1" x14ac:dyDescent="0.2">
      <c r="B23" s="298" t="s">
        <v>276</v>
      </c>
      <c r="C23" s="298"/>
      <c r="D23" s="298"/>
      <c r="F23" s="119" t="s">
        <v>267</v>
      </c>
      <c r="G23" s="120"/>
      <c r="H23" s="120"/>
      <c r="I23" s="120"/>
    </row>
    <row r="24" spans="2:14" ht="27" customHeight="1" x14ac:dyDescent="0.2">
      <c r="B24" s="298" t="s">
        <v>183</v>
      </c>
      <c r="C24" s="298"/>
      <c r="D24" s="298"/>
      <c r="F24" s="314" t="s">
        <v>257</v>
      </c>
      <c r="G24" s="316" t="s">
        <v>248</v>
      </c>
      <c r="H24" s="316"/>
      <c r="I24" s="316"/>
      <c r="J24" s="316"/>
      <c r="K24" s="300">
        <v>0</v>
      </c>
      <c r="M24" s="281" t="s">
        <v>456</v>
      </c>
      <c r="N24" s="281"/>
    </row>
    <row r="25" spans="2:14" ht="32" customHeight="1" x14ac:dyDescent="0.2">
      <c r="B25" s="298" t="s">
        <v>181</v>
      </c>
      <c r="C25" s="298"/>
      <c r="D25" s="298"/>
      <c r="F25" s="315"/>
      <c r="G25" s="310"/>
      <c r="H25" s="310"/>
      <c r="I25" s="310"/>
      <c r="J25" s="310"/>
      <c r="K25" s="301"/>
      <c r="M25" s="281"/>
      <c r="N25" s="281"/>
    </row>
    <row r="26" spans="2:14" ht="32" customHeight="1" x14ac:dyDescent="0.2">
      <c r="B26" s="298" t="s">
        <v>182</v>
      </c>
      <c r="C26" s="298"/>
      <c r="D26" s="298"/>
      <c r="F26" s="311" t="s">
        <v>116</v>
      </c>
      <c r="G26" s="312" t="s">
        <v>430</v>
      </c>
      <c r="H26" s="312"/>
      <c r="I26" s="244" t="s">
        <v>324</v>
      </c>
      <c r="J26" s="243"/>
      <c r="K26" s="247">
        <v>2000</v>
      </c>
      <c r="M26" s="281" t="s">
        <v>448</v>
      </c>
      <c r="N26" s="281"/>
    </row>
    <row r="27" spans="2:14" ht="32" customHeight="1" x14ac:dyDescent="0.2">
      <c r="B27" s="298" t="s">
        <v>179</v>
      </c>
      <c r="C27" s="298"/>
      <c r="D27" s="298"/>
      <c r="F27" s="311"/>
      <c r="G27" s="312"/>
      <c r="H27" s="312"/>
      <c r="I27" s="244" t="s">
        <v>325</v>
      </c>
      <c r="J27" s="243"/>
      <c r="K27" s="247">
        <v>1400</v>
      </c>
      <c r="M27" s="281"/>
      <c r="N27" s="281"/>
    </row>
    <row r="28" spans="2:14" ht="35" customHeight="1" x14ac:dyDescent="0.2">
      <c r="B28" s="298" t="s">
        <v>180</v>
      </c>
      <c r="C28" s="298"/>
      <c r="D28" s="298"/>
      <c r="F28" s="311"/>
      <c r="G28" s="312"/>
      <c r="H28" s="312"/>
      <c r="I28" s="244" t="s">
        <v>326</v>
      </c>
      <c r="J28" s="21"/>
      <c r="K28" s="248">
        <v>800</v>
      </c>
    </row>
    <row r="29" spans="2:14" ht="27" customHeight="1" x14ac:dyDescent="0.2">
      <c r="B29" s="190" t="s">
        <v>339</v>
      </c>
      <c r="F29" s="242" t="s">
        <v>259</v>
      </c>
      <c r="G29" s="310" t="s">
        <v>431</v>
      </c>
      <c r="H29" s="310"/>
      <c r="I29" s="310"/>
      <c r="J29" s="310"/>
      <c r="K29" s="245">
        <f>'O&amp;M'!B14</f>
        <v>1720</v>
      </c>
    </row>
    <row r="30" spans="2:14" ht="27" customHeight="1" x14ac:dyDescent="0.2">
      <c r="F30" s="304" t="s">
        <v>258</v>
      </c>
      <c r="G30" s="302" t="s">
        <v>433</v>
      </c>
      <c r="H30" s="239"/>
      <c r="I30" s="299" t="s">
        <v>416</v>
      </c>
      <c r="J30" s="240"/>
      <c r="K30" s="308">
        <f>'O&amp;M'!I14</f>
        <v>5.882521675647074</v>
      </c>
    </row>
    <row r="31" spans="2:14" ht="27" customHeight="1" x14ac:dyDescent="0.2">
      <c r="F31" s="304"/>
      <c r="G31" s="302"/>
      <c r="H31" s="184"/>
      <c r="I31" s="299"/>
      <c r="J31" s="102"/>
      <c r="K31" s="308"/>
    </row>
    <row r="32" spans="2:14" ht="15" customHeight="1" x14ac:dyDescent="0.2">
      <c r="F32" s="304"/>
      <c r="G32" s="303"/>
      <c r="H32" s="52"/>
      <c r="I32" s="241" t="s">
        <v>405</v>
      </c>
      <c r="J32" s="241"/>
      <c r="K32" s="246">
        <f>'O&amp;M'!I14*1.3</f>
        <v>7.6472781783411961</v>
      </c>
    </row>
    <row r="33" spans="6:11" ht="16" customHeight="1" x14ac:dyDescent="0.2">
      <c r="F33" s="304"/>
      <c r="G33" s="302" t="s">
        <v>432</v>
      </c>
      <c r="I33" s="306" t="s">
        <v>434</v>
      </c>
      <c r="K33" s="308">
        <f>'O&amp;M'!W14</f>
        <v>2.6902751682321973</v>
      </c>
    </row>
    <row r="34" spans="6:11" x14ac:dyDescent="0.2">
      <c r="F34" s="305"/>
      <c r="G34" s="303"/>
      <c r="H34" s="52"/>
      <c r="I34" s="307"/>
      <c r="J34" s="52"/>
      <c r="K34" s="309"/>
    </row>
    <row r="35" spans="6:11" ht="15" customHeight="1" x14ac:dyDescent="0.2">
      <c r="G35" s="143"/>
    </row>
    <row r="36" spans="6:11" x14ac:dyDescent="0.2">
      <c r="I36" t="s">
        <v>334</v>
      </c>
      <c r="K36" s="177">
        <f>('O&amp;M'!S14+'O&amp;M'!X14)/'Per Student Base Funding'!C4</f>
        <v>2500.916204114641</v>
      </c>
    </row>
    <row r="38" spans="6:11" ht="15" customHeight="1" x14ac:dyDescent="0.2"/>
  </sheetData>
  <sheetProtection algorithmName="SHA-512" hashValue="FlJ3SCVr6lKVsyXwkm3xgzM3BPinhrlonKcKFz258CXlZNq38Ai06sJ8m9AziFMbefvJFkUJULiuN4ePAxfYDA==" saltValue="IqDVFmrWxExfJ/2vOVc8ZA==" spinCount="100000" sheet="1" objects="1" scenarios="1"/>
  <mergeCells count="26">
    <mergeCell ref="M26:N27"/>
    <mergeCell ref="C6:G6"/>
    <mergeCell ref="F24:F25"/>
    <mergeCell ref="G24:J25"/>
    <mergeCell ref="B21:D21"/>
    <mergeCell ref="B22:D22"/>
    <mergeCell ref="B23:D23"/>
    <mergeCell ref="B24:D24"/>
    <mergeCell ref="B25:D25"/>
    <mergeCell ref="M24:N25"/>
    <mergeCell ref="M7:R11"/>
    <mergeCell ref="M12:N14"/>
    <mergeCell ref="B26:D26"/>
    <mergeCell ref="B27:D27"/>
    <mergeCell ref="I30:I31"/>
    <mergeCell ref="K24:K25"/>
    <mergeCell ref="G30:G32"/>
    <mergeCell ref="F30:F34"/>
    <mergeCell ref="G33:G34"/>
    <mergeCell ref="I33:I34"/>
    <mergeCell ref="K33:K34"/>
    <mergeCell ref="K30:K31"/>
    <mergeCell ref="G29:J29"/>
    <mergeCell ref="B28:D28"/>
    <mergeCell ref="F26:F28"/>
    <mergeCell ref="G26:H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8460-2ECD-CF43-9A17-6DEE08E835EC}">
  <sheetPr>
    <tabColor rgb="FF002060"/>
  </sheetPr>
  <dimension ref="B1:X26"/>
  <sheetViews>
    <sheetView zoomScale="140" zoomScaleNormal="140" workbookViewId="0">
      <selection activeCell="B1" sqref="B1:C1"/>
    </sheetView>
  </sheetViews>
  <sheetFormatPr baseColWidth="10" defaultRowHeight="15" x14ac:dyDescent="0.2"/>
  <cols>
    <col min="1" max="1" width="3" customWidth="1"/>
    <col min="2" max="2" width="34.33203125" bestFit="1" customWidth="1"/>
    <col min="3" max="3" width="17.5" customWidth="1"/>
    <col min="4" max="4" width="3.83203125" customWidth="1"/>
    <col min="5" max="6" width="18.83203125" customWidth="1"/>
    <col min="7" max="7" width="4.83203125" customWidth="1"/>
    <col min="8" max="13" width="18.83203125" customWidth="1"/>
    <col min="14" max="14" width="5" customWidth="1"/>
    <col min="15" max="17" width="18.83203125" customWidth="1"/>
    <col min="18" max="18" width="3.83203125" customWidth="1"/>
    <col min="19" max="19" width="19.83203125" customWidth="1"/>
    <col min="20" max="20" width="3.83203125" customWidth="1"/>
    <col min="21" max="22" width="19.83203125" customWidth="1"/>
    <col min="23" max="23" width="3.83203125" customWidth="1"/>
    <col min="24" max="24" width="20.33203125" customWidth="1"/>
  </cols>
  <sheetData>
    <row r="1" spans="2:24" ht="19" x14ac:dyDescent="0.25">
      <c r="B1" s="318" t="s">
        <v>169</v>
      </c>
      <c r="C1" s="318"/>
    </row>
    <row r="2" spans="2:24" s="58" customFormat="1" ht="16" customHeight="1" x14ac:dyDescent="0.2">
      <c r="E2" s="287" t="s">
        <v>172</v>
      </c>
      <c r="F2" s="287"/>
      <c r="G2" s="45"/>
      <c r="H2" s="287" t="s">
        <v>213</v>
      </c>
      <c r="I2" s="287"/>
      <c r="J2" s="287"/>
      <c r="K2" s="287"/>
      <c r="L2" s="287"/>
      <c r="M2" s="287"/>
      <c r="O2" s="288" t="s">
        <v>170</v>
      </c>
      <c r="P2" s="288"/>
      <c r="Q2" s="288"/>
      <c r="S2" s="59" t="s">
        <v>116</v>
      </c>
      <c r="U2" s="59" t="s">
        <v>1</v>
      </c>
      <c r="V2" s="59" t="s">
        <v>1</v>
      </c>
      <c r="X2" s="287" t="s">
        <v>169</v>
      </c>
    </row>
    <row r="3" spans="2:24" ht="32" x14ac:dyDescent="0.2">
      <c r="B3" s="54" t="s">
        <v>171</v>
      </c>
      <c r="C3" s="69" t="s">
        <v>250</v>
      </c>
      <c r="D3" s="37"/>
      <c r="E3" s="56" t="s">
        <v>242</v>
      </c>
      <c r="F3" s="56" t="s">
        <v>249</v>
      </c>
      <c r="G3" s="57"/>
      <c r="H3" s="56" t="s">
        <v>236</v>
      </c>
      <c r="I3" s="56" t="s">
        <v>237</v>
      </c>
      <c r="J3" s="56" t="s">
        <v>238</v>
      </c>
      <c r="K3" s="56" t="s">
        <v>239</v>
      </c>
      <c r="L3" s="56" t="s">
        <v>240</v>
      </c>
      <c r="M3" s="56" t="s">
        <v>241</v>
      </c>
      <c r="N3" s="53"/>
      <c r="O3" s="56" t="s">
        <v>302</v>
      </c>
      <c r="P3" s="56" t="s">
        <v>311</v>
      </c>
      <c r="Q3" s="56" t="s">
        <v>232</v>
      </c>
      <c r="R3" s="53"/>
      <c r="S3" s="122"/>
      <c r="T3" s="53"/>
      <c r="U3" s="56" t="s">
        <v>417</v>
      </c>
      <c r="V3" s="56" t="s">
        <v>418</v>
      </c>
      <c r="X3" s="288"/>
    </row>
    <row r="4" spans="2:24" x14ac:dyDescent="0.2">
      <c r="B4" t="s">
        <v>113</v>
      </c>
      <c r="C4" s="179">
        <f>'Per Student Base Funding'!K8</f>
        <v>1094.2237017865266</v>
      </c>
      <c r="D4" s="19"/>
      <c r="E4" s="32">
        <v>1000</v>
      </c>
      <c r="F4" s="32">
        <v>500</v>
      </c>
      <c r="H4" s="49"/>
      <c r="I4" s="49"/>
      <c r="J4" s="49"/>
      <c r="K4" s="49"/>
      <c r="L4" s="49"/>
      <c r="M4" s="49"/>
      <c r="O4" s="50"/>
      <c r="P4" s="50"/>
      <c r="Q4" s="50"/>
      <c r="S4" s="50"/>
      <c r="U4" s="50"/>
      <c r="V4" s="50"/>
      <c r="X4" s="99" t="s">
        <v>342</v>
      </c>
    </row>
    <row r="5" spans="2:24" x14ac:dyDescent="0.2">
      <c r="B5" t="s">
        <v>112</v>
      </c>
      <c r="C5" s="179">
        <f>'Per Student Base Funding'!K9</f>
        <v>1094.2237017865266</v>
      </c>
      <c r="D5" s="19"/>
      <c r="E5" s="50"/>
      <c r="F5" s="50"/>
      <c r="H5" s="32">
        <f t="shared" ref="H5:M5" si="0">H$10*($C$5/($C$5+$C$6))</f>
        <v>4129.0736860006582</v>
      </c>
      <c r="I5" s="32">
        <f t="shared" si="0"/>
        <v>3096.8052645004936</v>
      </c>
      <c r="J5" s="32">
        <f t="shared" si="0"/>
        <v>2064.5368430003291</v>
      </c>
      <c r="K5" s="32">
        <f t="shared" si="0"/>
        <v>1032.2684215001645</v>
      </c>
      <c r="L5" s="32">
        <f t="shared" si="0"/>
        <v>2064.5368430003291</v>
      </c>
      <c r="M5" s="32">
        <f t="shared" si="0"/>
        <v>1032.2684215001645</v>
      </c>
      <c r="O5" s="50"/>
      <c r="P5" s="50"/>
      <c r="Q5" s="50"/>
      <c r="S5" s="50"/>
      <c r="U5" s="50"/>
      <c r="V5" s="50"/>
      <c r="X5" s="319" t="s">
        <v>189</v>
      </c>
    </row>
    <row r="6" spans="2:24" x14ac:dyDescent="0.2">
      <c r="B6" t="s">
        <v>0</v>
      </c>
      <c r="C6" s="179">
        <f>'Per Student Base Funding'!K10</f>
        <v>1025.8134493961556</v>
      </c>
      <c r="D6" s="19"/>
      <c r="E6" s="50"/>
      <c r="F6" s="50"/>
      <c r="H6" s="32">
        <f t="shared" ref="H6:M6" si="1">H$10*($C$6/($C$5+$C$6))</f>
        <v>3870.9263139993409</v>
      </c>
      <c r="I6" s="32">
        <f t="shared" si="1"/>
        <v>2903.1947354995059</v>
      </c>
      <c r="J6" s="32">
        <f t="shared" si="1"/>
        <v>1935.4631569996704</v>
      </c>
      <c r="K6" s="32">
        <f t="shared" si="1"/>
        <v>967.73157849983522</v>
      </c>
      <c r="L6" s="32">
        <f t="shared" si="1"/>
        <v>1935.4631569996704</v>
      </c>
      <c r="M6" s="32">
        <f t="shared" si="1"/>
        <v>967.73157849983522</v>
      </c>
      <c r="O6" s="50"/>
      <c r="P6" s="50"/>
      <c r="Q6" s="50"/>
      <c r="S6" s="50"/>
      <c r="U6" s="50"/>
      <c r="V6" s="50"/>
      <c r="X6" s="319"/>
    </row>
    <row r="7" spans="2:24" x14ac:dyDescent="0.2">
      <c r="B7" t="s">
        <v>114</v>
      </c>
      <c r="C7" s="179">
        <f>'Per Student Base Funding'!K11</f>
        <v>10952.696705830351</v>
      </c>
      <c r="D7" s="19"/>
      <c r="E7" s="50"/>
      <c r="F7" s="50"/>
      <c r="H7" s="49"/>
      <c r="I7" s="49"/>
      <c r="J7" s="49"/>
      <c r="K7" s="49"/>
      <c r="L7" s="49"/>
      <c r="M7" s="49"/>
      <c r="O7" s="32">
        <v>422</v>
      </c>
      <c r="P7" s="32">
        <f>('Institutional Base Calc'!J4*'Institutional Base Calc'!G4)*P17</f>
        <v>3094.8586786458318</v>
      </c>
      <c r="Q7" s="32">
        <f>('Institutional Base Calc'!K4*'Institutional Base Calc'!G4)*Q17</f>
        <v>1031.6195595486106</v>
      </c>
      <c r="S7" s="50"/>
      <c r="U7" s="50"/>
      <c r="V7" s="50"/>
      <c r="X7" s="99" t="s">
        <v>341</v>
      </c>
    </row>
    <row r="8" spans="2:24" x14ac:dyDescent="0.2">
      <c r="B8" t="s">
        <v>168</v>
      </c>
      <c r="C8" s="179" t="str">
        <f>'Per Student Base Funding'!K18</f>
        <v>$800 - $2000</v>
      </c>
      <c r="D8" s="19"/>
      <c r="E8" s="50"/>
      <c r="F8" s="50"/>
      <c r="H8" s="49"/>
      <c r="I8" s="49"/>
      <c r="J8" s="49"/>
      <c r="K8" s="49"/>
      <c r="L8" s="49"/>
      <c r="M8" s="49"/>
      <c r="O8" s="50"/>
      <c r="P8" s="50"/>
      <c r="Q8" s="50"/>
      <c r="S8" s="123">
        <v>0</v>
      </c>
      <c r="U8" s="50"/>
      <c r="V8" s="50"/>
      <c r="X8" s="71">
        <f>S8</f>
        <v>0</v>
      </c>
    </row>
    <row r="9" spans="2:24" x14ac:dyDescent="0.2">
      <c r="B9" s="52" t="s">
        <v>1</v>
      </c>
      <c r="C9" s="173">
        <f>'Per Student Base Funding'!K29+'Per Student Base Funding'!K36</f>
        <v>4220.916204114641</v>
      </c>
      <c r="D9" s="62"/>
      <c r="E9" s="60"/>
      <c r="F9" s="60"/>
      <c r="H9" s="61"/>
      <c r="I9" s="61"/>
      <c r="J9" s="61"/>
      <c r="K9" s="61"/>
      <c r="L9" s="61"/>
      <c r="M9" s="61"/>
      <c r="O9" s="60"/>
      <c r="P9" s="60"/>
      <c r="Q9" s="60"/>
      <c r="S9" s="60"/>
      <c r="U9" s="232">
        <f>U17*'Per Student Base Funding'!K29</f>
        <v>516</v>
      </c>
      <c r="V9" s="232">
        <f>V17*'Per Student Base Funding'!K29</f>
        <v>258</v>
      </c>
      <c r="X9" s="72" t="s">
        <v>421</v>
      </c>
    </row>
    <row r="10" spans="2:24" x14ac:dyDescent="0.2">
      <c r="B10" s="23" t="s">
        <v>115</v>
      </c>
      <c r="C10" s="44">
        <f>SUM(C4:C9)</f>
        <v>18387.873762914202</v>
      </c>
      <c r="D10" s="24"/>
      <c r="E10" s="24">
        <f>SUM(E4:E9)</f>
        <v>1000</v>
      </c>
      <c r="F10" s="24">
        <f>SUM(F4:F9)</f>
        <v>500</v>
      </c>
      <c r="H10" s="38">
        <v>8000</v>
      </c>
      <c r="I10" s="38">
        <v>6000</v>
      </c>
      <c r="J10" s="38">
        <v>4000</v>
      </c>
      <c r="K10" s="38">
        <v>2000</v>
      </c>
      <c r="L10" s="38">
        <v>4000</v>
      </c>
      <c r="M10" s="38">
        <v>2000</v>
      </c>
      <c r="O10" s="24">
        <f>SUM(O4:O9)</f>
        <v>422</v>
      </c>
      <c r="P10" s="24">
        <f>SUM(P4:P9)</f>
        <v>3094.8586786458318</v>
      </c>
      <c r="Q10" s="24">
        <f>SUM(Q4:Q9)</f>
        <v>1031.6195595486106</v>
      </c>
      <c r="S10" s="24">
        <f>SUM(S4:S9)</f>
        <v>0</v>
      </c>
      <c r="U10" s="24">
        <f t="shared" ref="U10:V10" si="2">SUM(U4:U9)</f>
        <v>516</v>
      </c>
      <c r="V10" s="24">
        <f t="shared" si="2"/>
        <v>258</v>
      </c>
      <c r="X10" s="73" t="s">
        <v>422</v>
      </c>
    </row>
    <row r="11" spans="2:24" x14ac:dyDescent="0.2">
      <c r="P11" s="19"/>
      <c r="Q11" s="19"/>
    </row>
    <row r="12" spans="2:24" x14ac:dyDescent="0.2">
      <c r="C12" s="74" t="s">
        <v>297</v>
      </c>
      <c r="E12" t="s">
        <v>308</v>
      </c>
      <c r="F12" t="s">
        <v>303</v>
      </c>
      <c r="H12" t="s">
        <v>202</v>
      </c>
      <c r="I12" t="s">
        <v>303</v>
      </c>
      <c r="J12" t="s">
        <v>305</v>
      </c>
      <c r="K12" t="s">
        <v>304</v>
      </c>
      <c r="L12" t="s">
        <v>303</v>
      </c>
      <c r="M12" t="s">
        <v>218</v>
      </c>
      <c r="O12" t="s">
        <v>301</v>
      </c>
      <c r="P12" t="s">
        <v>303</v>
      </c>
      <c r="Q12" t="s">
        <v>303</v>
      </c>
    </row>
    <row r="13" spans="2:24" ht="16" x14ac:dyDescent="0.2">
      <c r="E13" t="s">
        <v>212</v>
      </c>
      <c r="F13" t="s">
        <v>203</v>
      </c>
      <c r="I13" t="s">
        <v>203</v>
      </c>
      <c r="J13" t="s">
        <v>291</v>
      </c>
      <c r="K13" t="s">
        <v>212</v>
      </c>
      <c r="L13" t="s">
        <v>203</v>
      </c>
      <c r="M13" t="s">
        <v>210</v>
      </c>
      <c r="P13" t="s">
        <v>315</v>
      </c>
      <c r="Q13" t="s">
        <v>203</v>
      </c>
      <c r="S13" s="107"/>
      <c r="X13" s="32"/>
    </row>
    <row r="14" spans="2:24" ht="16" x14ac:dyDescent="0.2">
      <c r="E14" t="s">
        <v>218</v>
      </c>
      <c r="I14" t="s">
        <v>205</v>
      </c>
      <c r="J14" t="s">
        <v>218</v>
      </c>
      <c r="P14" t="s">
        <v>218</v>
      </c>
      <c r="Q14" t="s">
        <v>218</v>
      </c>
      <c r="S14" s="108"/>
    </row>
    <row r="15" spans="2:24" ht="16" x14ac:dyDescent="0.2">
      <c r="E15" t="s">
        <v>305</v>
      </c>
      <c r="I15" t="s">
        <v>206</v>
      </c>
      <c r="J15" t="s">
        <v>210</v>
      </c>
      <c r="S15" s="108"/>
    </row>
    <row r="16" spans="2:24" ht="32" x14ac:dyDescent="0.2">
      <c r="J16" t="s">
        <v>306</v>
      </c>
      <c r="P16" s="205" t="s">
        <v>371</v>
      </c>
      <c r="Q16" s="205" t="s">
        <v>372</v>
      </c>
      <c r="S16" s="108"/>
      <c r="U16" s="205" t="s">
        <v>419</v>
      </c>
      <c r="V16" s="205" t="s">
        <v>420</v>
      </c>
    </row>
    <row r="17" spans="10:22" x14ac:dyDescent="0.2">
      <c r="J17" t="s">
        <v>307</v>
      </c>
      <c r="P17" s="168">
        <v>0.3</v>
      </c>
      <c r="Q17" s="168">
        <v>0.5</v>
      </c>
      <c r="U17" s="168">
        <v>0.3</v>
      </c>
      <c r="V17" s="168">
        <v>0.15</v>
      </c>
    </row>
    <row r="23" spans="10:22" x14ac:dyDescent="0.2">
      <c r="U23" s="58"/>
      <c r="V23" s="58"/>
    </row>
    <row r="26" spans="10:22" x14ac:dyDescent="0.2">
      <c r="U26" s="19"/>
      <c r="V26" s="19"/>
    </row>
  </sheetData>
  <sheetProtection algorithmName="SHA-512" hashValue="0zvU+TZnTc9jlfXLtp5EfftwdGaeN0ZfuZLxCrdC0shjRAqbFfOFxMdGq7xFfv2u2+DmIQFiIxSC4duZhEAO5w==" saltValue="0nLunjIbuSbus4L+/AQq+Q==" spinCount="100000" sheet="1" objects="1" scenarios="1"/>
  <mergeCells count="6">
    <mergeCell ref="B1:C1"/>
    <mergeCell ref="X5:X6"/>
    <mergeCell ref="X2:X3"/>
    <mergeCell ref="H2:M2"/>
    <mergeCell ref="O2:Q2"/>
    <mergeCell ref="E2: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8B3B3-5F51-424B-887E-D5FB78B7B8EE}">
  <sheetPr>
    <tabColor theme="9"/>
  </sheetPr>
  <dimension ref="A1:P15"/>
  <sheetViews>
    <sheetView zoomScale="130" zoomScaleNormal="130" workbookViewId="0">
      <selection activeCell="D20" sqref="D20"/>
    </sheetView>
  </sheetViews>
  <sheetFormatPr baseColWidth="10" defaultRowHeight="15" x14ac:dyDescent="0.2"/>
  <cols>
    <col min="1" max="1" width="32.5" bestFit="1" customWidth="1"/>
    <col min="2" max="2" width="16.1640625" customWidth="1"/>
    <col min="3" max="3" width="14" customWidth="1"/>
    <col min="4" max="4" width="11.1640625" bestFit="1" customWidth="1"/>
    <col min="5" max="6" width="11.1640625" customWidth="1"/>
    <col min="7" max="9" width="12.1640625" customWidth="1"/>
    <col min="10" max="11" width="13.83203125" customWidth="1"/>
    <col min="13" max="15" width="14.5" customWidth="1"/>
    <col min="16" max="16" width="17.33203125" customWidth="1"/>
  </cols>
  <sheetData>
    <row r="1" spans="1:16" x14ac:dyDescent="0.2">
      <c r="B1" s="320" t="s">
        <v>167</v>
      </c>
      <c r="C1" s="320"/>
      <c r="D1" s="320"/>
      <c r="E1" s="320"/>
    </row>
    <row r="2" spans="1:16" ht="50" customHeight="1" x14ac:dyDescent="0.2">
      <c r="A2" s="39" t="s">
        <v>95</v>
      </c>
      <c r="B2" s="40" t="s">
        <v>153</v>
      </c>
      <c r="C2" s="13" t="s">
        <v>154</v>
      </c>
      <c r="D2" s="45" t="s">
        <v>165</v>
      </c>
      <c r="E2" s="45" t="s">
        <v>166</v>
      </c>
      <c r="F2" s="22"/>
      <c r="G2" s="22" t="s">
        <v>161</v>
      </c>
      <c r="H2" s="22" t="s">
        <v>162</v>
      </c>
      <c r="I2" s="22"/>
      <c r="J2" s="22" t="s">
        <v>155</v>
      </c>
      <c r="K2" s="22" t="s">
        <v>156</v>
      </c>
      <c r="M2" s="46" t="s">
        <v>157</v>
      </c>
      <c r="N2" s="46" t="s">
        <v>158</v>
      </c>
      <c r="O2" s="46" t="s">
        <v>159</v>
      </c>
      <c r="P2" s="45" t="s">
        <v>160</v>
      </c>
    </row>
    <row r="3" spans="1:16" x14ac:dyDescent="0.2">
      <c r="A3" s="41" t="s">
        <v>96</v>
      </c>
      <c r="B3" s="30">
        <v>40076900</v>
      </c>
      <c r="C3" s="30">
        <v>22257400</v>
      </c>
      <c r="D3" s="30" t="e">
        <f>C3/#REF!</f>
        <v>#REF!</v>
      </c>
      <c r="E3" s="30" t="e">
        <f>C3/#REF!</f>
        <v>#REF!</v>
      </c>
      <c r="F3" s="30"/>
      <c r="G3" s="30" t="e">
        <f>MIN(10000,D3)*('Instituional Equity Calc'!#REF!-'Instituional Equity Calc'!#REF!)</f>
        <v>#REF!</v>
      </c>
      <c r="H3" s="30" t="e">
        <f>MIN(D3*0.5,5000)*'Instituional Equity Calc'!#REF!</f>
        <v>#REF!</v>
      </c>
      <c r="I3" s="30" t="e">
        <f>H3+G3</f>
        <v>#REF!</v>
      </c>
      <c r="J3" s="19" t="e">
        <f>D3*('Instituional Equity Calc'!#REF!-'Instituional Equity Calc'!#REF!)+D3*0.5*'Instituional Equity Calc'!#REF!</f>
        <v>#REF!</v>
      </c>
      <c r="K3" s="19" t="e">
        <f>MAX(D3,$D$15)*('Instituional Equity Calc'!#REF!-'Instituional Equity Calc'!#REF!)+MAX(D3,$D$15)*0.5*'Instituional Equity Calc'!#REF!</f>
        <v>#REF!</v>
      </c>
      <c r="M3" s="43" t="e">
        <f>I3+B3</f>
        <v>#REF!</v>
      </c>
      <c r="N3" s="43" t="e">
        <f>'Instituional Equity Calc'!#REF!</f>
        <v>#REF!</v>
      </c>
      <c r="O3" s="43" t="e">
        <f>N3-M3</f>
        <v>#REF!</v>
      </c>
      <c r="P3" s="16" t="e">
        <f>O3/M3</f>
        <v>#REF!</v>
      </c>
    </row>
    <row r="4" spans="1:16" x14ac:dyDescent="0.2">
      <c r="A4" s="41" t="s">
        <v>97</v>
      </c>
      <c r="B4" s="30">
        <v>43502600</v>
      </c>
      <c r="C4" s="30">
        <v>44345825.689999998</v>
      </c>
      <c r="D4" s="30" t="e">
        <f>C4/#REF!</f>
        <v>#REF!</v>
      </c>
      <c r="E4" s="30" t="e">
        <f>C4/#REF!</f>
        <v>#REF!</v>
      </c>
      <c r="F4" s="30"/>
      <c r="G4" s="30" t="e">
        <f>MIN(10000,D4)*('Instituional Equity Calc'!#REF!-'Instituional Equity Calc'!#REF!)</f>
        <v>#REF!</v>
      </c>
      <c r="H4" s="30" t="e">
        <f>MIN(D4*0.5,5000)*'Instituional Equity Calc'!#REF!</f>
        <v>#REF!</v>
      </c>
      <c r="I4" s="30" t="e">
        <f t="shared" ref="I4:I14" si="0">H4+G4</f>
        <v>#REF!</v>
      </c>
      <c r="J4" s="19" t="e">
        <f>D4*('Instituional Equity Calc'!#REF!-'Instituional Equity Calc'!#REF!)+D4*0.5*'Instituional Equity Calc'!#REF!</f>
        <v>#REF!</v>
      </c>
      <c r="K4" s="19" t="e">
        <f>MAX(D4,$D$15)*('Instituional Equity Calc'!#REF!-'Instituional Equity Calc'!#REF!)+MAX(D4,$D$15)*0.5*'Instituional Equity Calc'!#REF!</f>
        <v>#REF!</v>
      </c>
      <c r="M4" s="43" t="e">
        <f t="shared" ref="M4:M14" si="1">I4+B4</f>
        <v>#REF!</v>
      </c>
      <c r="N4" s="43" t="e">
        <f>'Instituional Equity Calc'!#REF!</f>
        <v>#REF!</v>
      </c>
      <c r="O4" s="43" t="e">
        <f t="shared" ref="O4:O14" si="2">N4-M4</f>
        <v>#REF!</v>
      </c>
      <c r="P4" s="16" t="e">
        <f t="shared" ref="P4:P14" si="3">O4/M4</f>
        <v>#REF!</v>
      </c>
    </row>
    <row r="5" spans="1:16" x14ac:dyDescent="0.2">
      <c r="A5" s="41" t="s">
        <v>98</v>
      </c>
      <c r="B5" s="30">
        <v>24353300</v>
      </c>
      <c r="C5" s="30">
        <v>34957929.789999992</v>
      </c>
      <c r="D5" s="30" t="e">
        <f>C5/#REF!</f>
        <v>#REF!</v>
      </c>
      <c r="E5" s="30" t="e">
        <f>C5/#REF!</f>
        <v>#REF!</v>
      </c>
      <c r="F5" s="30"/>
      <c r="G5" s="30" t="e">
        <f>MIN(10000,D5)*('Instituional Equity Calc'!#REF!-'Instituional Equity Calc'!#REF!)</f>
        <v>#REF!</v>
      </c>
      <c r="H5" s="30" t="e">
        <f>MIN(D5*0.5,5000)*'Instituional Equity Calc'!#REF!</f>
        <v>#REF!</v>
      </c>
      <c r="I5" s="30" t="e">
        <f t="shared" si="0"/>
        <v>#REF!</v>
      </c>
      <c r="J5" s="19" t="e">
        <f>D5*('Instituional Equity Calc'!#REF!-'Instituional Equity Calc'!#REF!)+D5*0.5*'Instituional Equity Calc'!#REF!</f>
        <v>#REF!</v>
      </c>
      <c r="K5" s="19" t="e">
        <f>MAX(D5,$D$15)*('Instituional Equity Calc'!#REF!-'Instituional Equity Calc'!#REF!)+MAX(D5,$D$15)*0.5*'Instituional Equity Calc'!#REF!</f>
        <v>#REF!</v>
      </c>
      <c r="M5" s="43" t="e">
        <f t="shared" si="1"/>
        <v>#REF!</v>
      </c>
      <c r="N5" s="43" t="e">
        <f>'Instituional Equity Calc'!#REF!</f>
        <v>#REF!</v>
      </c>
      <c r="O5" s="43" t="e">
        <f t="shared" si="2"/>
        <v>#REF!</v>
      </c>
      <c r="P5" s="16" t="e">
        <f t="shared" si="3"/>
        <v>#REF!</v>
      </c>
    </row>
    <row r="6" spans="1:16" x14ac:dyDescent="0.2">
      <c r="A6" s="41" t="s">
        <v>99</v>
      </c>
      <c r="B6" s="30">
        <v>73125300</v>
      </c>
      <c r="C6" s="30">
        <v>216990500</v>
      </c>
      <c r="D6" s="30" t="e">
        <f>C6/#REF!</f>
        <v>#REF!</v>
      </c>
      <c r="E6" s="30" t="e">
        <f>C6/#REF!</f>
        <v>#REF!</v>
      </c>
      <c r="F6" s="30"/>
      <c r="G6" s="30" t="e">
        <f>MIN(10000,D6)*('Instituional Equity Calc'!#REF!-'Instituional Equity Calc'!#REF!)</f>
        <v>#REF!</v>
      </c>
      <c r="H6" s="30" t="e">
        <f>MIN(D6*0.5,5000)*'Instituional Equity Calc'!#REF!</f>
        <v>#REF!</v>
      </c>
      <c r="I6" s="30" t="e">
        <f t="shared" si="0"/>
        <v>#REF!</v>
      </c>
      <c r="J6" s="19" t="e">
        <f>D6*('Instituional Equity Calc'!#REF!-'Instituional Equity Calc'!#REF!)+D6*0.5*'Instituional Equity Calc'!#REF!</f>
        <v>#REF!</v>
      </c>
      <c r="K6" s="19" t="e">
        <f>MAX(D6,$D$15)*('Instituional Equity Calc'!#REF!-'Instituional Equity Calc'!#REF!)+MAX(D6,$D$15)*0.5*'Instituional Equity Calc'!#REF!</f>
        <v>#REF!</v>
      </c>
      <c r="M6" s="43" t="e">
        <f t="shared" si="1"/>
        <v>#REF!</v>
      </c>
      <c r="N6" s="43" t="e">
        <f>'Instituional Equity Calc'!#REF!</f>
        <v>#REF!</v>
      </c>
      <c r="O6" s="43" t="e">
        <f t="shared" si="2"/>
        <v>#REF!</v>
      </c>
      <c r="P6" s="16" t="e">
        <f t="shared" si="3"/>
        <v>#REF!</v>
      </c>
    </row>
    <row r="7" spans="1:16" x14ac:dyDescent="0.2">
      <c r="A7" s="41" t="s">
        <v>100</v>
      </c>
      <c r="B7" s="30">
        <v>37345300</v>
      </c>
      <c r="C7" s="30">
        <v>48426270.199999996</v>
      </c>
      <c r="D7" s="30" t="e">
        <f>C7/#REF!</f>
        <v>#REF!</v>
      </c>
      <c r="E7" s="30" t="e">
        <f>C7/#REF!</f>
        <v>#REF!</v>
      </c>
      <c r="F7" s="30"/>
      <c r="G7" s="30" t="e">
        <f>MIN(10000,D7)*('Instituional Equity Calc'!#REF!-'Instituional Equity Calc'!#REF!)</f>
        <v>#REF!</v>
      </c>
      <c r="H7" s="30" t="e">
        <f>MIN(D7*0.5,5000)*'Instituional Equity Calc'!#REF!</f>
        <v>#REF!</v>
      </c>
      <c r="I7" s="30" t="e">
        <f t="shared" si="0"/>
        <v>#REF!</v>
      </c>
      <c r="J7" s="19" t="e">
        <f>D7*('Instituional Equity Calc'!#REF!-'Instituional Equity Calc'!#REF!)+D7*0.5*'Instituional Equity Calc'!#REF!</f>
        <v>#REF!</v>
      </c>
      <c r="K7" s="19" t="e">
        <f>MAX(D7,$D$15)*('Instituional Equity Calc'!#REF!-'Instituional Equity Calc'!#REF!)+MAX(D7,$D$15)*0.5*'Instituional Equity Calc'!#REF!</f>
        <v>#REF!</v>
      </c>
      <c r="M7" s="43" t="e">
        <f t="shared" si="1"/>
        <v>#REF!</v>
      </c>
      <c r="N7" s="43" t="e">
        <f>'Instituional Equity Calc'!#REF!</f>
        <v>#REF!</v>
      </c>
      <c r="O7" s="43" t="e">
        <f t="shared" si="2"/>
        <v>#REF!</v>
      </c>
      <c r="P7" s="16" t="e">
        <f>O7/M7</f>
        <v>#REF!</v>
      </c>
    </row>
    <row r="8" spans="1:16" x14ac:dyDescent="0.2">
      <c r="A8" s="41" t="s">
        <v>101</v>
      </c>
      <c r="B8" s="30">
        <v>92216600</v>
      </c>
      <c r="C8" s="30">
        <v>140087300</v>
      </c>
      <c r="D8" s="30" t="e">
        <f>C8/#REF!</f>
        <v>#REF!</v>
      </c>
      <c r="E8" s="30" t="e">
        <f>C8/#REF!</f>
        <v>#REF!</v>
      </c>
      <c r="F8" s="30"/>
      <c r="G8" s="30" t="e">
        <f>MIN(10000,D8)*('Instituional Equity Calc'!#REF!-'Instituional Equity Calc'!#REF!)</f>
        <v>#REF!</v>
      </c>
      <c r="H8" s="30" t="e">
        <f>MIN(D8*0.5,5000)*'Instituional Equity Calc'!#REF!</f>
        <v>#REF!</v>
      </c>
      <c r="I8" s="30" t="e">
        <f t="shared" si="0"/>
        <v>#REF!</v>
      </c>
      <c r="J8" s="19" t="e">
        <f>D8*('Instituional Equity Calc'!#REF!-'Instituional Equity Calc'!#REF!)+D8*0.5*'Instituional Equity Calc'!#REF!</f>
        <v>#REF!</v>
      </c>
      <c r="K8" s="19" t="e">
        <f>MAX(D8,$D$15)*('Instituional Equity Calc'!#REF!-'Instituional Equity Calc'!#REF!)+MAX(D8,$D$15)*0.5*'Instituional Equity Calc'!#REF!</f>
        <v>#REF!</v>
      </c>
      <c r="M8" s="43" t="e">
        <f t="shared" si="1"/>
        <v>#REF!</v>
      </c>
      <c r="N8" s="43" t="e">
        <f>'Instituional Equity Calc'!#REF!</f>
        <v>#REF!</v>
      </c>
      <c r="O8" s="43" t="e">
        <f t="shared" si="2"/>
        <v>#REF!</v>
      </c>
      <c r="P8" s="16" t="e">
        <f t="shared" si="3"/>
        <v>#REF!</v>
      </c>
    </row>
    <row r="9" spans="1:16" x14ac:dyDescent="0.2">
      <c r="A9" s="41" t="s">
        <v>102</v>
      </c>
      <c r="B9" s="30">
        <v>102232800</v>
      </c>
      <c r="C9" s="30">
        <v>73252500</v>
      </c>
      <c r="D9" s="30" t="e">
        <f>C9/#REF!</f>
        <v>#REF!</v>
      </c>
      <c r="E9" s="30" t="e">
        <f>C9/#REF!</f>
        <v>#REF!</v>
      </c>
      <c r="F9" s="30"/>
      <c r="G9" s="30" t="e">
        <f>MIN(10000,D9)*('Instituional Equity Calc'!#REF!-'Instituional Equity Calc'!#REF!)</f>
        <v>#REF!</v>
      </c>
      <c r="H9" s="30" t="e">
        <f>MIN(D9*0.5,5000)*'Instituional Equity Calc'!#REF!</f>
        <v>#REF!</v>
      </c>
      <c r="I9" s="30" t="e">
        <f t="shared" si="0"/>
        <v>#REF!</v>
      </c>
      <c r="J9" s="19" t="e">
        <f>D9*('Instituional Equity Calc'!#REF!-'Instituional Equity Calc'!#REF!)+D9*0.5*'Instituional Equity Calc'!#REF!</f>
        <v>#REF!</v>
      </c>
      <c r="K9" s="19" t="e">
        <f>MAX(D9,$D$15)*('Instituional Equity Calc'!#REF!-'Instituional Equity Calc'!#REF!)+MAX(D9,$D$15)*0.5*'Instituional Equity Calc'!#REF!</f>
        <v>#REF!</v>
      </c>
      <c r="M9" s="43" t="e">
        <f t="shared" si="1"/>
        <v>#REF!</v>
      </c>
      <c r="N9" s="43" t="e">
        <f>'Instituional Equity Calc'!#REF!</f>
        <v>#REF!</v>
      </c>
      <c r="O9" s="43" t="e">
        <f t="shared" si="2"/>
        <v>#REF!</v>
      </c>
      <c r="P9" s="16" t="e">
        <f t="shared" si="3"/>
        <v>#REF!</v>
      </c>
    </row>
    <row r="10" spans="1:16" x14ac:dyDescent="0.2">
      <c r="A10" s="41" t="s">
        <v>103</v>
      </c>
      <c r="B10" s="30">
        <v>62737600</v>
      </c>
      <c r="C10" s="30">
        <v>108911600</v>
      </c>
      <c r="D10" s="30" t="e">
        <f>C10/#REF!</f>
        <v>#REF!</v>
      </c>
      <c r="E10" s="30" t="e">
        <f>C10/#REF!</f>
        <v>#REF!</v>
      </c>
      <c r="F10" s="30"/>
      <c r="G10" s="30" t="e">
        <f>MIN(10000,D10)*('Instituional Equity Calc'!#REF!-'Instituional Equity Calc'!#REF!)</f>
        <v>#REF!</v>
      </c>
      <c r="H10" s="30" t="e">
        <f>MIN(D10*0.5,5000)*'Instituional Equity Calc'!#REF!</f>
        <v>#REF!</v>
      </c>
      <c r="I10" s="30" t="e">
        <f t="shared" si="0"/>
        <v>#REF!</v>
      </c>
      <c r="J10" s="19" t="e">
        <f>D10*('Instituional Equity Calc'!#REF!-'Instituional Equity Calc'!#REF!)+D10*0.5*'Instituional Equity Calc'!#REF!</f>
        <v>#REF!</v>
      </c>
      <c r="K10" s="19" t="e">
        <f>MAX(D10,$D$15)*('Instituional Equity Calc'!#REF!-'Instituional Equity Calc'!#REF!)+MAX(D10,$D$15)*0.5*'Instituional Equity Calc'!#REF!</f>
        <v>#REF!</v>
      </c>
      <c r="M10" s="43" t="e">
        <f t="shared" si="1"/>
        <v>#REF!</v>
      </c>
      <c r="N10" s="43" t="e">
        <f>'Instituional Equity Calc'!#REF!</f>
        <v>#REF!</v>
      </c>
      <c r="O10" s="43" t="e">
        <f t="shared" si="2"/>
        <v>#REF!</v>
      </c>
      <c r="P10" s="16" t="e">
        <f t="shared" si="3"/>
        <v>#REF!</v>
      </c>
    </row>
    <row r="11" spans="1:16" x14ac:dyDescent="0.2">
      <c r="A11" s="41" t="s">
        <v>104</v>
      </c>
      <c r="B11" s="30">
        <v>219852099.99999997</v>
      </c>
      <c r="C11" s="30">
        <v>510302281.71000004</v>
      </c>
      <c r="D11" s="30" t="e">
        <f>C11/#REF!</f>
        <v>#REF!</v>
      </c>
      <c r="E11" s="30" t="e">
        <f>C11/#REF!</f>
        <v>#REF!</v>
      </c>
      <c r="F11" s="30"/>
      <c r="G11" s="30" t="e">
        <f>MIN(10000,D11)*('Instituional Equity Calc'!#REF!-'Instituional Equity Calc'!#REF!)</f>
        <v>#REF!</v>
      </c>
      <c r="H11" s="30" t="e">
        <f>MIN(D11*0.5,5000)*'Instituional Equity Calc'!#REF!</f>
        <v>#REF!</v>
      </c>
      <c r="I11" s="30" t="e">
        <f t="shared" si="0"/>
        <v>#REF!</v>
      </c>
      <c r="J11" s="19" t="e">
        <f>D11*('Instituional Equity Calc'!#REF!-'Instituional Equity Calc'!#REF!)+D11*0.5*'Instituional Equity Calc'!#REF!</f>
        <v>#REF!</v>
      </c>
      <c r="K11" s="19" t="e">
        <f>MAX(D11,$D$15)*('Instituional Equity Calc'!#REF!-'Instituional Equity Calc'!#REF!)+MAX(D11,$D$15)*0.5*'Instituional Equity Calc'!#REF!</f>
        <v>#REF!</v>
      </c>
      <c r="M11" s="43" t="e">
        <f t="shared" si="1"/>
        <v>#REF!</v>
      </c>
      <c r="N11" s="43" t="e">
        <f>'Instituional Equity Calc'!#REF!</f>
        <v>#REF!</v>
      </c>
      <c r="O11" s="43" t="e">
        <f t="shared" si="2"/>
        <v>#REF!</v>
      </c>
      <c r="P11" s="16" t="e">
        <f t="shared" si="3"/>
        <v>#REF!</v>
      </c>
    </row>
    <row r="12" spans="1:16" x14ac:dyDescent="0.2">
      <c r="A12" s="41" t="s">
        <v>105</v>
      </c>
      <c r="B12" s="30">
        <v>19903800.000000004</v>
      </c>
      <c r="C12" s="30">
        <v>32507600</v>
      </c>
      <c r="D12" s="30" t="e">
        <f>C12/#REF!</f>
        <v>#REF!</v>
      </c>
      <c r="E12" s="30" t="e">
        <f>C12/#REF!</f>
        <v>#REF!</v>
      </c>
      <c r="F12" s="30"/>
      <c r="G12" s="30" t="e">
        <f>MIN(10000,D12)*('Instituional Equity Calc'!#REF!-'Instituional Equity Calc'!#REF!)</f>
        <v>#REF!</v>
      </c>
      <c r="H12" s="30" t="e">
        <f>MIN(D12*0.5,5000)*'Instituional Equity Calc'!#REF!</f>
        <v>#REF!</v>
      </c>
      <c r="I12" s="30" t="e">
        <f t="shared" si="0"/>
        <v>#REF!</v>
      </c>
      <c r="J12" s="19" t="e">
        <f>D12*('Instituional Equity Calc'!#REF!-'Instituional Equity Calc'!#REF!)+D12*0.5*'Instituional Equity Calc'!#REF!</f>
        <v>#REF!</v>
      </c>
      <c r="K12" s="19" t="e">
        <f>MAX(D12,$D$15)*('Instituional Equity Calc'!#REF!-'Instituional Equity Calc'!#REF!)+MAX(D12,$D$15)*0.5*'Instituional Equity Calc'!#REF!</f>
        <v>#REF!</v>
      </c>
      <c r="M12" s="43" t="e">
        <f t="shared" si="1"/>
        <v>#REF!</v>
      </c>
      <c r="N12" s="43" t="e">
        <f>'Instituional Equity Calc'!#REF!</f>
        <v>#REF!</v>
      </c>
      <c r="O12" s="43" t="e">
        <f t="shared" si="2"/>
        <v>#REF!</v>
      </c>
      <c r="P12" s="16" t="e">
        <f>O12/M12</f>
        <v>#REF!</v>
      </c>
    </row>
    <row r="13" spans="1:16" x14ac:dyDescent="0.2">
      <c r="A13" s="41" t="s">
        <v>106</v>
      </c>
      <c r="B13" s="30">
        <v>274141700</v>
      </c>
      <c r="C13" s="30">
        <v>924941613.51000011</v>
      </c>
      <c r="D13" s="30" t="e">
        <f>C13/#REF!</f>
        <v>#REF!</v>
      </c>
      <c r="E13" s="30" t="e">
        <f>C13/#REF!</f>
        <v>#REF!</v>
      </c>
      <c r="F13" s="30"/>
      <c r="G13" s="30" t="e">
        <f>MIN(10000,D13)*('Instituional Equity Calc'!#REF!-'Instituional Equity Calc'!#REF!)</f>
        <v>#REF!</v>
      </c>
      <c r="H13" s="30" t="e">
        <f>MIN(D13*0.5,5000)*'Instituional Equity Calc'!#REF!</f>
        <v>#REF!</v>
      </c>
      <c r="I13" s="30" t="e">
        <f t="shared" si="0"/>
        <v>#REF!</v>
      </c>
      <c r="J13" s="19" t="e">
        <f>D13*('Instituional Equity Calc'!#REF!-'Instituional Equity Calc'!#REF!)+D13*0.5*'Instituional Equity Calc'!#REF!</f>
        <v>#REF!</v>
      </c>
      <c r="K13" s="19" t="e">
        <f>MAX(D13,$D$15)*('Instituional Equity Calc'!#REF!-'Instituional Equity Calc'!#REF!)+MAX(D13,$D$15)*0.5*'Instituional Equity Calc'!#REF!</f>
        <v>#REF!</v>
      </c>
      <c r="M13" s="43" t="e">
        <f t="shared" si="1"/>
        <v>#REF!</v>
      </c>
      <c r="N13" s="43" t="e">
        <f>'Instituional Equity Calc'!#REF!</f>
        <v>#REF!</v>
      </c>
      <c r="O13" s="43" t="e">
        <f t="shared" si="2"/>
        <v>#REF!</v>
      </c>
      <c r="P13" s="16" t="e">
        <f t="shared" si="3"/>
        <v>#REF!</v>
      </c>
    </row>
    <row r="14" spans="1:16" x14ac:dyDescent="0.2">
      <c r="A14" s="41" t="s">
        <v>107</v>
      </c>
      <c r="B14" s="30">
        <v>52077400</v>
      </c>
      <c r="C14" s="30">
        <v>54777100</v>
      </c>
      <c r="D14" s="30" t="e">
        <f>C14/#REF!</f>
        <v>#REF!</v>
      </c>
      <c r="E14" s="30" t="e">
        <f>C14/#REF!</f>
        <v>#REF!</v>
      </c>
      <c r="F14" s="30"/>
      <c r="G14" s="30" t="e">
        <f>MIN(10000,D14)*('Instituional Equity Calc'!#REF!-'Instituional Equity Calc'!#REF!)</f>
        <v>#REF!</v>
      </c>
      <c r="H14" s="30" t="e">
        <f>MIN(D14*0.5,5000)*'Instituional Equity Calc'!#REF!</f>
        <v>#REF!</v>
      </c>
      <c r="I14" s="30" t="e">
        <f t="shared" si="0"/>
        <v>#REF!</v>
      </c>
      <c r="J14" s="19" t="e">
        <f>D14*('Instituional Equity Calc'!#REF!-'Instituional Equity Calc'!#REF!)+D14*0.5*'Instituional Equity Calc'!#REF!</f>
        <v>#REF!</v>
      </c>
      <c r="K14" s="19" t="e">
        <f>MAX(D14,$D$15)*('Instituional Equity Calc'!#REF!-'Instituional Equity Calc'!#REF!)+MAX(D14,$D$15)*0.5*'Instituional Equity Calc'!#REF!</f>
        <v>#REF!</v>
      </c>
      <c r="M14" s="43" t="e">
        <f t="shared" si="1"/>
        <v>#REF!</v>
      </c>
      <c r="N14" s="43" t="e">
        <f>'Instituional Equity Calc'!#REF!</f>
        <v>#REF!</v>
      </c>
      <c r="O14" s="43" t="e">
        <f t="shared" si="2"/>
        <v>#REF!</v>
      </c>
      <c r="P14" s="16" t="e">
        <f t="shared" si="3"/>
        <v>#REF!</v>
      </c>
    </row>
    <row r="15" spans="1:16" x14ac:dyDescent="0.2">
      <c r="B15" s="24">
        <f>SUM(B3:B14)</f>
        <v>1041565400</v>
      </c>
      <c r="C15" s="24">
        <f>SUM(C3:C14)</f>
        <v>2211757920.9000001</v>
      </c>
      <c r="D15" s="42" t="e">
        <f>C15/#REF!</f>
        <v>#REF!</v>
      </c>
      <c r="E15" s="42" t="e">
        <f>C15/#REF!</f>
        <v>#REF!</v>
      </c>
      <c r="G15" s="24" t="e">
        <f>SUM(G3:G14)</f>
        <v>#REF!</v>
      </c>
      <c r="H15" s="24" t="e">
        <f>SUM(H3:H14)</f>
        <v>#REF!</v>
      </c>
      <c r="I15" s="24" t="e">
        <f>SUM(I3:I14)</f>
        <v>#REF!</v>
      </c>
      <c r="J15" s="24" t="e">
        <f>SUM(J3:J14)</f>
        <v>#REF!</v>
      </c>
      <c r="K15" s="24" t="e">
        <f>SUM(K3:K14)</f>
        <v>#REF!</v>
      </c>
      <c r="M15" s="44" t="e">
        <f>SUM(M3:M14)</f>
        <v>#REF!</v>
      </c>
      <c r="N15" s="44" t="e">
        <f>SUM(N3:N14)</f>
        <v>#REF!</v>
      </c>
      <c r="O15" s="44" t="e">
        <f>SUM(O3:O14)</f>
        <v>#REF!</v>
      </c>
    </row>
  </sheetData>
  <mergeCells count="1">
    <mergeCell ref="B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18</vt:i4>
      </vt:variant>
    </vt:vector>
  </HeadingPairs>
  <TitlesOfParts>
    <vt:vector size="18" baseType="lpstr">
      <vt:lpstr>Model Comparison</vt:lpstr>
      <vt:lpstr>Institution Summary</vt:lpstr>
      <vt:lpstr>Institutional Base Calc</vt:lpstr>
      <vt:lpstr>Instituional Equity Calc</vt:lpstr>
      <vt:lpstr>ESS Calculation</vt:lpstr>
      <vt:lpstr>Adequacy Framework</vt:lpstr>
      <vt:lpstr>Per Student Base Funding</vt:lpstr>
      <vt:lpstr>Equity Adjustment Amounts</vt:lpstr>
      <vt:lpstr>Mock Resource Calc and Gap</vt:lpstr>
      <vt:lpstr>ESS Affordability Adjustment</vt:lpstr>
      <vt:lpstr>ESS Subsidy Student Counts</vt:lpstr>
      <vt:lpstr>Tier Counts</vt:lpstr>
      <vt:lpstr>High-Cost Programs</vt:lpstr>
      <vt:lpstr>O&amp;M</vt:lpstr>
      <vt:lpstr>Expend, FTE, Headcount, Sq Ft</vt:lpstr>
      <vt:lpstr>R&amp;E Pivot Table</vt:lpstr>
      <vt:lpstr>Rev &amp; Exp Sort</vt:lpstr>
      <vt:lpstr>Share of Exp by Rev 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Moss</dc:creator>
  <cp:lastModifiedBy>Katie Lynne Morton</cp:lastModifiedBy>
  <dcterms:created xsi:type="dcterms:W3CDTF">2023-02-15T15:41:21Z</dcterms:created>
  <dcterms:modified xsi:type="dcterms:W3CDTF">2023-07-21T17:16:03Z</dcterms:modified>
</cp:coreProperties>
</file>