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williamcarroll/Desktop/Illinois 4-year commission/Allocation Model/"/>
    </mc:Choice>
  </mc:AlternateContent>
  <xr:revisionPtr revIDLastSave="0" documentId="13_ncr:1_{250CF7F9-5459-CF47-AA43-1FCDEF3B8B58}" xr6:coauthVersionLast="47" xr6:coauthVersionMax="47" xr10:uidLastSave="{00000000-0000-0000-0000-000000000000}"/>
  <bookViews>
    <workbookView xWindow="35080" yWindow="1160" windowWidth="30700" windowHeight="18420" firstSheet="1" activeTab="1" xr2:uid="{E58AFF84-E4D1-4C2D-84CC-3187C88EF0EA}"/>
  </bookViews>
  <sheets>
    <sheet name="Options Comparison" sheetId="61" r:id="rId1"/>
    <sheet name="Scenario Comparison" sheetId="71" r:id="rId2"/>
    <sheet name="Pell Allocation" sheetId="66" state="hidden" r:id="rId3"/>
    <sheet name="Dyanmic Summary" sheetId="59" r:id="rId4"/>
    <sheet name="Model -Guard + Adeq $ and %" sheetId="57" r:id="rId5"/>
    <sheet name="Sheet2" sheetId="68" state="hidden" r:id="rId6"/>
    <sheet name="Opt 1 - Guard + Adeq %" sheetId="55" state="hidden" r:id="rId7"/>
    <sheet name="Opt 3 - Tier Allocation" sheetId="56" state="hidden" r:id="rId8"/>
    <sheet name="CPI vs HEPI" sheetId="60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9" l="1"/>
  <c r="C8" i="59"/>
  <c r="D8" i="59"/>
  <c r="E8" i="59"/>
  <c r="C9" i="59"/>
  <c r="D9" i="59"/>
  <c r="E9" i="59"/>
  <c r="C10" i="59"/>
  <c r="D10" i="59"/>
  <c r="E10" i="59"/>
  <c r="C11" i="59"/>
  <c r="D11" i="59"/>
  <c r="E11" i="59"/>
  <c r="C12" i="59"/>
  <c r="D12" i="59"/>
  <c r="E12" i="59"/>
  <c r="C13" i="59"/>
  <c r="D13" i="59"/>
  <c r="E13" i="59"/>
  <c r="C14" i="59"/>
  <c r="D14" i="59"/>
  <c r="E14" i="59"/>
  <c r="C15" i="59"/>
  <c r="D15" i="59"/>
  <c r="E15" i="59"/>
  <c r="C16" i="59"/>
  <c r="D16" i="59"/>
  <c r="E16" i="59"/>
  <c r="C17" i="59"/>
  <c r="D17" i="59"/>
  <c r="E17" i="59"/>
  <c r="C18" i="59"/>
  <c r="D18" i="59"/>
  <c r="E18" i="59"/>
  <c r="C19" i="59"/>
  <c r="D19" i="59"/>
  <c r="E19" i="59"/>
  <c r="C20" i="59"/>
  <c r="D20" i="59"/>
  <c r="E20" i="59"/>
  <c r="C24" i="59"/>
  <c r="D24" i="59"/>
  <c r="C25" i="59"/>
  <c r="D25" i="59"/>
  <c r="C26" i="59"/>
  <c r="D26" i="59"/>
  <c r="C27" i="59"/>
  <c r="D27" i="59"/>
  <c r="C28" i="59"/>
  <c r="D28" i="59"/>
  <c r="C29" i="59"/>
  <c r="D29" i="59"/>
  <c r="C30" i="59"/>
  <c r="D30" i="59"/>
  <c r="C31" i="59"/>
  <c r="D31" i="59"/>
  <c r="C32" i="59"/>
  <c r="D32" i="59"/>
  <c r="C33" i="59"/>
  <c r="D33" i="59"/>
  <c r="C34" i="59"/>
  <c r="D34" i="59"/>
  <c r="C35" i="59"/>
  <c r="D35" i="59"/>
  <c r="C36" i="59"/>
  <c r="D36" i="59"/>
  <c r="E36" i="59"/>
  <c r="F36" i="59"/>
  <c r="G36" i="59"/>
  <c r="H36" i="59"/>
  <c r="I36" i="59"/>
  <c r="J36" i="59"/>
  <c r="K36" i="59"/>
  <c r="L36" i="59"/>
  <c r="M36" i="59"/>
  <c r="N36" i="59"/>
  <c r="O36" i="59"/>
  <c r="P36" i="59"/>
  <c r="Q36" i="59"/>
  <c r="R36" i="59"/>
  <c r="S36" i="59"/>
  <c r="T36" i="59"/>
  <c r="I11" i="57"/>
  <c r="I12" i="57"/>
  <c r="I13" i="57"/>
  <c r="I14" i="57"/>
  <c r="I15" i="57"/>
  <c r="I16" i="57"/>
  <c r="I17" i="57"/>
  <c r="I18" i="57"/>
  <c r="I19" i="57"/>
  <c r="I20" i="57"/>
  <c r="I21" i="57"/>
  <c r="I22" i="57"/>
  <c r="I36" i="57"/>
  <c r="C5" i="68" l="1"/>
  <c r="U21" i="57"/>
  <c r="AF11" i="57"/>
  <c r="AO12" i="57"/>
  <c r="AR12" i="57" s="1"/>
  <c r="AO13" i="57"/>
  <c r="AR13" i="57" s="1"/>
  <c r="AO14" i="57"/>
  <c r="AP14" i="57" s="1"/>
  <c r="AO15" i="57"/>
  <c r="AR15" i="57" s="1"/>
  <c r="AO16" i="57"/>
  <c r="AP16" i="57" s="1"/>
  <c r="AO17" i="57"/>
  <c r="AP17" i="57" s="1"/>
  <c r="AO18" i="57"/>
  <c r="AR18" i="57" s="1"/>
  <c r="AO19" i="57"/>
  <c r="AR19" i="57" s="1"/>
  <c r="AO20" i="57"/>
  <c r="AR20" i="57" s="1"/>
  <c r="AO21" i="57"/>
  <c r="AP21" i="57" s="1"/>
  <c r="AO22" i="57"/>
  <c r="AR22" i="57" s="1"/>
  <c r="AO11" i="57"/>
  <c r="AP11" i="57" s="1"/>
  <c r="G11" i="66"/>
  <c r="G12" i="66"/>
  <c r="G13" i="66"/>
  <c r="G14" i="66"/>
  <c r="G15" i="66"/>
  <c r="G16" i="66"/>
  <c r="G17" i="66"/>
  <c r="G18" i="66"/>
  <c r="G19" i="66"/>
  <c r="G20" i="66"/>
  <c r="G21" i="66"/>
  <c r="G10" i="66"/>
  <c r="I26" i="66"/>
  <c r="F11" i="57"/>
  <c r="AP15" i="57" l="1"/>
  <c r="AP13" i="57"/>
  <c r="AP12" i="57"/>
  <c r="AR11" i="57"/>
  <c r="AP22" i="57"/>
  <c r="AP20" i="57"/>
  <c r="AR14" i="57"/>
  <c r="AR21" i="57"/>
  <c r="AR17" i="57"/>
  <c r="AR16" i="57"/>
  <c r="AP19" i="57"/>
  <c r="AP18" i="57"/>
  <c r="AF12" i="57"/>
  <c r="AF13" i="57"/>
  <c r="AF14" i="57"/>
  <c r="AF15" i="57"/>
  <c r="AF16" i="57"/>
  <c r="AF17" i="57"/>
  <c r="AF18" i="57"/>
  <c r="AF19" i="57"/>
  <c r="AF20" i="57"/>
  <c r="AF21" i="57"/>
  <c r="AF22" i="57"/>
  <c r="I43" i="66"/>
  <c r="I42" i="66"/>
  <c r="F43" i="66"/>
  <c r="F44" i="66"/>
  <c r="F45" i="66"/>
  <c r="F46" i="66"/>
  <c r="F47" i="66"/>
  <c r="F48" i="66"/>
  <c r="F49" i="66"/>
  <c r="F50" i="66"/>
  <c r="F51" i="66"/>
  <c r="F52" i="66"/>
  <c r="F53" i="66"/>
  <c r="F42" i="66"/>
  <c r="I44" i="66"/>
  <c r="I45" i="66"/>
  <c r="I46" i="66"/>
  <c r="I47" i="66"/>
  <c r="I48" i="66"/>
  <c r="I49" i="66"/>
  <c r="I50" i="66"/>
  <c r="I51" i="66"/>
  <c r="I52" i="66"/>
  <c r="I53" i="66"/>
  <c r="C43" i="66"/>
  <c r="D43" i="66" s="1"/>
  <c r="C44" i="66"/>
  <c r="D44" i="66" s="1"/>
  <c r="C45" i="66"/>
  <c r="D45" i="66" s="1"/>
  <c r="C46" i="66"/>
  <c r="D46" i="66" s="1"/>
  <c r="C47" i="66"/>
  <c r="D47" i="66" s="1"/>
  <c r="C48" i="66"/>
  <c r="D48" i="66" s="1"/>
  <c r="C49" i="66"/>
  <c r="D49" i="66" s="1"/>
  <c r="C50" i="66"/>
  <c r="D50" i="66" s="1"/>
  <c r="C51" i="66"/>
  <c r="D51" i="66" s="1"/>
  <c r="C52" i="66"/>
  <c r="D52" i="66" s="1"/>
  <c r="C53" i="66"/>
  <c r="D53" i="66" s="1"/>
  <c r="C42" i="66"/>
  <c r="D42" i="66" s="1"/>
  <c r="J11" i="57"/>
  <c r="T11" i="57" s="1"/>
  <c r="H54" i="66"/>
  <c r="B54" i="66"/>
  <c r="D27" i="66"/>
  <c r="D28" i="66"/>
  <c r="D29" i="66"/>
  <c r="D30" i="66"/>
  <c r="D31" i="66"/>
  <c r="D32" i="66"/>
  <c r="D33" i="66"/>
  <c r="D34" i="66"/>
  <c r="D35" i="66"/>
  <c r="D36" i="66"/>
  <c r="D37" i="66"/>
  <c r="D26" i="66"/>
  <c r="F38" i="66"/>
  <c r="G27" i="66" s="1"/>
  <c r="B38" i="66"/>
  <c r="B22" i="66"/>
  <c r="B2" i="66"/>
  <c r="B6" i="66" s="1"/>
  <c r="H27" i="66" s="1"/>
  <c r="C22" i="66"/>
  <c r="D11" i="66" s="1"/>
  <c r="AR25" i="57" l="1"/>
  <c r="AR24" i="57"/>
  <c r="AP25" i="57"/>
  <c r="AP24" i="57"/>
  <c r="E27" i="66"/>
  <c r="I27" i="66" s="1"/>
  <c r="D5" i="68"/>
  <c r="AF23" i="57"/>
  <c r="D54" i="66"/>
  <c r="E26" i="66"/>
  <c r="E28" i="66"/>
  <c r="E11" i="66"/>
  <c r="F11" i="66" s="1"/>
  <c r="E37" i="66"/>
  <c r="I37" i="66" s="1"/>
  <c r="E36" i="66"/>
  <c r="G34" i="66"/>
  <c r="H34" i="66" s="1"/>
  <c r="G33" i="66"/>
  <c r="H33" i="66" s="1"/>
  <c r="G32" i="66"/>
  <c r="H32" i="66" s="1"/>
  <c r="G31" i="66"/>
  <c r="H31" i="66" s="1"/>
  <c r="G26" i="66"/>
  <c r="H26" i="66" s="1"/>
  <c r="G28" i="66"/>
  <c r="H28" i="66" s="1"/>
  <c r="G30" i="66"/>
  <c r="H30" i="66" s="1"/>
  <c r="G37" i="66"/>
  <c r="H37" i="66" s="1"/>
  <c r="G29" i="66"/>
  <c r="H29" i="66" s="1"/>
  <c r="G36" i="66"/>
  <c r="H36" i="66" s="1"/>
  <c r="E35" i="66"/>
  <c r="G35" i="66"/>
  <c r="H35" i="66" s="1"/>
  <c r="J27" i="66"/>
  <c r="D17" i="66"/>
  <c r="E17" i="66" s="1"/>
  <c r="F17" i="66" s="1"/>
  <c r="D18" i="66"/>
  <c r="E18" i="66" s="1"/>
  <c r="F18" i="66" s="1"/>
  <c r="D16" i="66"/>
  <c r="E16" i="66" s="1"/>
  <c r="F16" i="66" s="1"/>
  <c r="D14" i="66"/>
  <c r="E14" i="66" s="1"/>
  <c r="F14" i="66" s="1"/>
  <c r="D13" i="66"/>
  <c r="E13" i="66" s="1"/>
  <c r="F13" i="66" s="1"/>
  <c r="D12" i="66"/>
  <c r="E12" i="66" s="1"/>
  <c r="F12" i="66" s="1"/>
  <c r="D15" i="66"/>
  <c r="E15" i="66" s="1"/>
  <c r="F15" i="66" s="1"/>
  <c r="D10" i="66"/>
  <c r="E10" i="66" s="1"/>
  <c r="D21" i="66"/>
  <c r="E21" i="66" s="1"/>
  <c r="F21" i="66" s="1"/>
  <c r="D20" i="66"/>
  <c r="E20" i="66" s="1"/>
  <c r="F20" i="66" s="1"/>
  <c r="D19" i="66"/>
  <c r="E19" i="66" s="1"/>
  <c r="F19" i="66" s="1"/>
  <c r="J10" i="56"/>
  <c r="I397" i="57"/>
  <c r="I396" i="57"/>
  <c r="I395" i="57"/>
  <c r="I394" i="57"/>
  <c r="I393" i="57"/>
  <c r="I392" i="57"/>
  <c r="I391" i="57"/>
  <c r="I390" i="57"/>
  <c r="I389" i="57"/>
  <c r="I388" i="57"/>
  <c r="I387" i="57"/>
  <c r="I386" i="57"/>
  <c r="I372" i="57"/>
  <c r="I371" i="57"/>
  <c r="I370" i="57"/>
  <c r="I369" i="57"/>
  <c r="I368" i="57"/>
  <c r="I367" i="57"/>
  <c r="I366" i="57"/>
  <c r="I365" i="57"/>
  <c r="I364" i="57"/>
  <c r="I363" i="57"/>
  <c r="I362" i="57"/>
  <c r="I361" i="57"/>
  <c r="I347" i="57"/>
  <c r="I346" i="57"/>
  <c r="I345" i="57"/>
  <c r="I344" i="57"/>
  <c r="I343" i="57"/>
  <c r="I342" i="57"/>
  <c r="I341" i="57"/>
  <c r="I340" i="57"/>
  <c r="I339" i="57"/>
  <c r="I338" i="57"/>
  <c r="I337" i="57"/>
  <c r="I336" i="57"/>
  <c r="I322" i="57"/>
  <c r="I321" i="57"/>
  <c r="I320" i="57"/>
  <c r="I319" i="57"/>
  <c r="I318" i="57"/>
  <c r="I317" i="57"/>
  <c r="I316" i="57"/>
  <c r="I315" i="57"/>
  <c r="I314" i="57"/>
  <c r="I313" i="57"/>
  <c r="I312" i="57"/>
  <c r="I311" i="57"/>
  <c r="I297" i="57"/>
  <c r="I296" i="57"/>
  <c r="I295" i="57"/>
  <c r="I294" i="57"/>
  <c r="I293" i="57"/>
  <c r="I292" i="57"/>
  <c r="I291" i="57"/>
  <c r="I290" i="57"/>
  <c r="I289" i="57"/>
  <c r="I288" i="57"/>
  <c r="I287" i="57"/>
  <c r="I286" i="57"/>
  <c r="I272" i="57"/>
  <c r="I271" i="57"/>
  <c r="I270" i="57"/>
  <c r="I269" i="57"/>
  <c r="I268" i="57"/>
  <c r="I267" i="57"/>
  <c r="I266" i="57"/>
  <c r="I265" i="57"/>
  <c r="I264" i="57"/>
  <c r="I263" i="57"/>
  <c r="I262" i="57"/>
  <c r="I261" i="57"/>
  <c r="I247" i="57"/>
  <c r="I246" i="57"/>
  <c r="I245" i="57"/>
  <c r="I244" i="57"/>
  <c r="I243" i="57"/>
  <c r="I242" i="57"/>
  <c r="I241" i="57"/>
  <c r="I240" i="57"/>
  <c r="I239" i="57"/>
  <c r="I238" i="57"/>
  <c r="I237" i="57"/>
  <c r="I236" i="57"/>
  <c r="I222" i="57"/>
  <c r="I221" i="57"/>
  <c r="I220" i="57"/>
  <c r="I219" i="57"/>
  <c r="I218" i="57"/>
  <c r="I217" i="57"/>
  <c r="I216" i="57"/>
  <c r="I215" i="57"/>
  <c r="I214" i="57"/>
  <c r="I213" i="57"/>
  <c r="I212" i="57"/>
  <c r="I211" i="57"/>
  <c r="I197" i="57"/>
  <c r="I196" i="57"/>
  <c r="I195" i="57"/>
  <c r="I194" i="57"/>
  <c r="I193" i="57"/>
  <c r="I192" i="57"/>
  <c r="I191" i="57"/>
  <c r="I190" i="57"/>
  <c r="I189" i="57"/>
  <c r="I188" i="57"/>
  <c r="I187" i="57"/>
  <c r="I186" i="57"/>
  <c r="I172" i="57"/>
  <c r="I171" i="57"/>
  <c r="I170" i="57"/>
  <c r="I169" i="57"/>
  <c r="I168" i="57"/>
  <c r="I167" i="57"/>
  <c r="I166" i="57"/>
  <c r="I165" i="57"/>
  <c r="I164" i="57"/>
  <c r="I163" i="57"/>
  <c r="I162" i="57"/>
  <c r="I161" i="57"/>
  <c r="I147" i="57"/>
  <c r="I146" i="57"/>
  <c r="I145" i="57"/>
  <c r="I144" i="57"/>
  <c r="I143" i="57"/>
  <c r="I142" i="57"/>
  <c r="I141" i="57"/>
  <c r="I140" i="57"/>
  <c r="I139" i="57"/>
  <c r="I138" i="57"/>
  <c r="I137" i="57"/>
  <c r="I136" i="57"/>
  <c r="I122" i="57"/>
  <c r="I121" i="57"/>
  <c r="I120" i="57"/>
  <c r="I119" i="57"/>
  <c r="I118" i="57"/>
  <c r="I117" i="57"/>
  <c r="I116" i="57"/>
  <c r="I115" i="57"/>
  <c r="I114" i="57"/>
  <c r="I113" i="57"/>
  <c r="I112" i="57"/>
  <c r="I111" i="57"/>
  <c r="I97" i="57"/>
  <c r="I96" i="57"/>
  <c r="I95" i="57"/>
  <c r="I94" i="57"/>
  <c r="I93" i="57"/>
  <c r="I92" i="57"/>
  <c r="I91" i="57"/>
  <c r="I90" i="57"/>
  <c r="I89" i="57"/>
  <c r="I88" i="57"/>
  <c r="I87" i="57"/>
  <c r="I86" i="57"/>
  <c r="I72" i="57"/>
  <c r="I71" i="57"/>
  <c r="I70" i="57"/>
  <c r="I69" i="57"/>
  <c r="I68" i="57"/>
  <c r="I67" i="57"/>
  <c r="I66" i="57"/>
  <c r="I65" i="57"/>
  <c r="I64" i="57"/>
  <c r="I63" i="57"/>
  <c r="I62" i="57"/>
  <c r="I61" i="57"/>
  <c r="I47" i="57"/>
  <c r="I46" i="57"/>
  <c r="I45" i="57"/>
  <c r="I44" i="57"/>
  <c r="I43" i="57"/>
  <c r="I42" i="57"/>
  <c r="I41" i="57"/>
  <c r="I40" i="57"/>
  <c r="I39" i="57"/>
  <c r="I38" i="57"/>
  <c r="I37" i="57"/>
  <c r="J411" i="56"/>
  <c r="J410" i="56"/>
  <c r="J409" i="56"/>
  <c r="J408" i="56"/>
  <c r="J407" i="56"/>
  <c r="J406" i="56"/>
  <c r="J405" i="56"/>
  <c r="J404" i="56"/>
  <c r="J403" i="56"/>
  <c r="J402" i="56"/>
  <c r="J401" i="56"/>
  <c r="J400" i="56"/>
  <c r="J385" i="56"/>
  <c r="J384" i="56"/>
  <c r="J383" i="56"/>
  <c r="J382" i="56"/>
  <c r="J381" i="56"/>
  <c r="J380" i="56"/>
  <c r="J379" i="56"/>
  <c r="J378" i="56"/>
  <c r="J377" i="56"/>
  <c r="J376" i="56"/>
  <c r="J375" i="56"/>
  <c r="J374" i="56"/>
  <c r="J359" i="56"/>
  <c r="J358" i="56"/>
  <c r="J357" i="56"/>
  <c r="J356" i="56"/>
  <c r="J355" i="56"/>
  <c r="J354" i="56"/>
  <c r="J353" i="56"/>
  <c r="J352" i="56"/>
  <c r="J351" i="56"/>
  <c r="J350" i="56"/>
  <c r="J349" i="56"/>
  <c r="J348" i="56"/>
  <c r="J333" i="56"/>
  <c r="J332" i="56"/>
  <c r="J331" i="56"/>
  <c r="J330" i="56"/>
  <c r="J329" i="56"/>
  <c r="J328" i="56"/>
  <c r="J327" i="56"/>
  <c r="J326" i="56"/>
  <c r="J325" i="56"/>
  <c r="J324" i="56"/>
  <c r="J323" i="56"/>
  <c r="J322" i="56"/>
  <c r="J307" i="56"/>
  <c r="J306" i="56"/>
  <c r="J305" i="56"/>
  <c r="J304" i="56"/>
  <c r="J303" i="56"/>
  <c r="J302" i="56"/>
  <c r="J301" i="56"/>
  <c r="J300" i="56"/>
  <c r="J299" i="56"/>
  <c r="J298" i="56"/>
  <c r="J297" i="56"/>
  <c r="J296" i="56"/>
  <c r="J281" i="56"/>
  <c r="J280" i="56"/>
  <c r="J279" i="56"/>
  <c r="J278" i="56"/>
  <c r="J277" i="56"/>
  <c r="J276" i="56"/>
  <c r="J275" i="56"/>
  <c r="J274" i="56"/>
  <c r="J273" i="56"/>
  <c r="J272" i="56"/>
  <c r="J271" i="56"/>
  <c r="J270" i="56"/>
  <c r="J255" i="56"/>
  <c r="J254" i="56"/>
  <c r="J253" i="56"/>
  <c r="J252" i="56"/>
  <c r="J251" i="56"/>
  <c r="J250" i="56"/>
  <c r="J249" i="56"/>
  <c r="J248" i="56"/>
  <c r="J247" i="56"/>
  <c r="J246" i="56"/>
  <c r="J245" i="56"/>
  <c r="J244" i="56"/>
  <c r="J229" i="56"/>
  <c r="J228" i="56"/>
  <c r="J227" i="56"/>
  <c r="J226" i="56"/>
  <c r="J225" i="56"/>
  <c r="J224" i="56"/>
  <c r="J223" i="56"/>
  <c r="J222" i="56"/>
  <c r="J221" i="56"/>
  <c r="J220" i="56"/>
  <c r="J219" i="56"/>
  <c r="J218" i="56"/>
  <c r="J203" i="56"/>
  <c r="J202" i="56"/>
  <c r="J201" i="56"/>
  <c r="J200" i="56"/>
  <c r="J199" i="56"/>
  <c r="J198" i="56"/>
  <c r="J197" i="56"/>
  <c r="J196" i="56"/>
  <c r="J195" i="56"/>
  <c r="J194" i="56"/>
  <c r="J193" i="56"/>
  <c r="J192" i="56"/>
  <c r="J177" i="56"/>
  <c r="J176" i="56"/>
  <c r="J175" i="56"/>
  <c r="J174" i="56"/>
  <c r="J173" i="56"/>
  <c r="J172" i="56"/>
  <c r="J171" i="56"/>
  <c r="J170" i="56"/>
  <c r="J169" i="56"/>
  <c r="J168" i="56"/>
  <c r="J167" i="56"/>
  <c r="J166" i="56"/>
  <c r="J151" i="56"/>
  <c r="J150" i="56"/>
  <c r="J149" i="56"/>
  <c r="J148" i="56"/>
  <c r="J147" i="56"/>
  <c r="J146" i="56"/>
  <c r="J145" i="56"/>
  <c r="J144" i="56"/>
  <c r="J143" i="56"/>
  <c r="J142" i="56"/>
  <c r="J141" i="56"/>
  <c r="J140" i="56"/>
  <c r="J125" i="56"/>
  <c r="J124" i="56"/>
  <c r="J123" i="56"/>
  <c r="J122" i="56"/>
  <c r="J121" i="56"/>
  <c r="J120" i="56"/>
  <c r="J119" i="56"/>
  <c r="J118" i="56"/>
  <c r="J117" i="56"/>
  <c r="J116" i="56"/>
  <c r="J115" i="56"/>
  <c r="J114" i="56"/>
  <c r="J99" i="56"/>
  <c r="J98" i="56"/>
  <c r="J97" i="56"/>
  <c r="J96" i="56"/>
  <c r="J95" i="56"/>
  <c r="J94" i="56"/>
  <c r="J93" i="56"/>
  <c r="J92" i="56"/>
  <c r="J91" i="56"/>
  <c r="J90" i="56"/>
  <c r="J89" i="56"/>
  <c r="J88" i="56"/>
  <c r="J73" i="56"/>
  <c r="J72" i="56"/>
  <c r="J71" i="56"/>
  <c r="J70" i="56"/>
  <c r="J69" i="56"/>
  <c r="J68" i="56"/>
  <c r="J67" i="56"/>
  <c r="J66" i="56"/>
  <c r="J65" i="56"/>
  <c r="J64" i="56"/>
  <c r="J63" i="56"/>
  <c r="J62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11" i="56"/>
  <c r="J12" i="56"/>
  <c r="J13" i="56"/>
  <c r="J14" i="56"/>
  <c r="J15" i="56"/>
  <c r="J16" i="56"/>
  <c r="J17" i="56"/>
  <c r="J18" i="56"/>
  <c r="J19" i="56"/>
  <c r="J20" i="56"/>
  <c r="J21" i="56"/>
  <c r="I396" i="55"/>
  <c r="I395" i="55"/>
  <c r="I394" i="55"/>
  <c r="I393" i="55"/>
  <c r="I392" i="55"/>
  <c r="I391" i="55"/>
  <c r="I390" i="55"/>
  <c r="I389" i="55"/>
  <c r="I388" i="55"/>
  <c r="I387" i="55"/>
  <c r="I386" i="55"/>
  <c r="I385" i="55"/>
  <c r="I371" i="55"/>
  <c r="I370" i="55"/>
  <c r="I369" i="55"/>
  <c r="I368" i="55"/>
  <c r="I367" i="55"/>
  <c r="I366" i="55"/>
  <c r="I365" i="55"/>
  <c r="I364" i="55"/>
  <c r="I363" i="55"/>
  <c r="I362" i="55"/>
  <c r="I361" i="55"/>
  <c r="I360" i="55"/>
  <c r="I346" i="55"/>
  <c r="I345" i="55"/>
  <c r="I344" i="55"/>
  <c r="I343" i="55"/>
  <c r="I342" i="55"/>
  <c r="I341" i="55"/>
  <c r="I340" i="55"/>
  <c r="I339" i="55"/>
  <c r="I338" i="55"/>
  <c r="I337" i="55"/>
  <c r="I336" i="55"/>
  <c r="I335" i="55"/>
  <c r="I321" i="55"/>
  <c r="I320" i="55"/>
  <c r="I319" i="55"/>
  <c r="I318" i="55"/>
  <c r="I317" i="55"/>
  <c r="I316" i="55"/>
  <c r="I315" i="55"/>
  <c r="I314" i="55"/>
  <c r="I313" i="55"/>
  <c r="I312" i="55"/>
  <c r="I311" i="55"/>
  <c r="I310" i="55"/>
  <c r="I296" i="55"/>
  <c r="I295" i="55"/>
  <c r="I294" i="55"/>
  <c r="I293" i="55"/>
  <c r="I292" i="55"/>
  <c r="I291" i="55"/>
  <c r="I290" i="55"/>
  <c r="I289" i="55"/>
  <c r="I288" i="55"/>
  <c r="I287" i="55"/>
  <c r="I286" i="55"/>
  <c r="I285" i="55"/>
  <c r="I271" i="55"/>
  <c r="I270" i="55"/>
  <c r="I269" i="55"/>
  <c r="I268" i="55"/>
  <c r="I267" i="55"/>
  <c r="I266" i="55"/>
  <c r="I265" i="55"/>
  <c r="I264" i="55"/>
  <c r="I263" i="55"/>
  <c r="I262" i="55"/>
  <c r="I261" i="55"/>
  <c r="I260" i="55"/>
  <c r="I246" i="55"/>
  <c r="I245" i="55"/>
  <c r="I244" i="55"/>
  <c r="I243" i="55"/>
  <c r="I242" i="55"/>
  <c r="I241" i="55"/>
  <c r="I240" i="55"/>
  <c r="I239" i="55"/>
  <c r="I238" i="55"/>
  <c r="I237" i="55"/>
  <c r="I236" i="55"/>
  <c r="I235" i="55"/>
  <c r="I221" i="55"/>
  <c r="I220" i="55"/>
  <c r="I219" i="55"/>
  <c r="I218" i="55"/>
  <c r="I217" i="55"/>
  <c r="I216" i="55"/>
  <c r="I215" i="55"/>
  <c r="I214" i="55"/>
  <c r="I213" i="55"/>
  <c r="I212" i="55"/>
  <c r="I211" i="55"/>
  <c r="I210" i="55"/>
  <c r="I196" i="55"/>
  <c r="I195" i="55"/>
  <c r="I194" i="55"/>
  <c r="I193" i="55"/>
  <c r="I192" i="55"/>
  <c r="I191" i="55"/>
  <c r="I190" i="55"/>
  <c r="I189" i="55"/>
  <c r="I188" i="55"/>
  <c r="I187" i="55"/>
  <c r="I186" i="55"/>
  <c r="I185" i="55"/>
  <c r="I171" i="55"/>
  <c r="I170" i="55"/>
  <c r="I169" i="55"/>
  <c r="I168" i="55"/>
  <c r="I167" i="55"/>
  <c r="I166" i="55"/>
  <c r="I165" i="55"/>
  <c r="I164" i="55"/>
  <c r="I163" i="55"/>
  <c r="I162" i="55"/>
  <c r="I161" i="55"/>
  <c r="I160" i="55"/>
  <c r="I146" i="55"/>
  <c r="I145" i="55"/>
  <c r="I144" i="55"/>
  <c r="I143" i="55"/>
  <c r="I142" i="55"/>
  <c r="I141" i="55"/>
  <c r="I140" i="55"/>
  <c r="I139" i="55"/>
  <c r="I138" i="55"/>
  <c r="I137" i="55"/>
  <c r="I136" i="55"/>
  <c r="I135" i="55"/>
  <c r="I121" i="55"/>
  <c r="I120" i="55"/>
  <c r="I119" i="55"/>
  <c r="I118" i="55"/>
  <c r="I117" i="55"/>
  <c r="I116" i="55"/>
  <c r="I115" i="55"/>
  <c r="I114" i="55"/>
  <c r="I113" i="55"/>
  <c r="I112" i="55"/>
  <c r="I111" i="55"/>
  <c r="I110" i="55"/>
  <c r="I96" i="55"/>
  <c r="I95" i="55"/>
  <c r="I94" i="55"/>
  <c r="I93" i="55"/>
  <c r="I92" i="55"/>
  <c r="I91" i="55"/>
  <c r="I90" i="55"/>
  <c r="I89" i="55"/>
  <c r="I88" i="55"/>
  <c r="I87" i="55"/>
  <c r="I86" i="55"/>
  <c r="I85" i="55"/>
  <c r="I71" i="55"/>
  <c r="I70" i="55"/>
  <c r="I69" i="55"/>
  <c r="I68" i="55"/>
  <c r="I67" i="55"/>
  <c r="I66" i="55"/>
  <c r="I65" i="55"/>
  <c r="I64" i="55"/>
  <c r="I63" i="55"/>
  <c r="I62" i="55"/>
  <c r="I61" i="55"/>
  <c r="I60" i="55"/>
  <c r="I46" i="55"/>
  <c r="I45" i="55"/>
  <c r="I44" i="55"/>
  <c r="I43" i="55"/>
  <c r="I42" i="55"/>
  <c r="I41" i="55"/>
  <c r="I40" i="55"/>
  <c r="I39" i="55"/>
  <c r="I38" i="55"/>
  <c r="I37" i="55"/>
  <c r="I36" i="55"/>
  <c r="I35" i="55"/>
  <c r="I11" i="55"/>
  <c r="I12" i="55"/>
  <c r="I13" i="55"/>
  <c r="I14" i="55"/>
  <c r="I15" i="55"/>
  <c r="I16" i="55"/>
  <c r="I17" i="55"/>
  <c r="I18" i="55"/>
  <c r="I19" i="55"/>
  <c r="I20" i="55"/>
  <c r="I21" i="55"/>
  <c r="I10" i="55"/>
  <c r="C396" i="56"/>
  <c r="G17" i="60"/>
  <c r="E17" i="60"/>
  <c r="C17" i="60"/>
  <c r="G16" i="60"/>
  <c r="C16" i="60"/>
  <c r="E16" i="60"/>
  <c r="G5" i="60"/>
  <c r="G6" i="60"/>
  <c r="G7" i="60"/>
  <c r="G8" i="60"/>
  <c r="G9" i="60"/>
  <c r="G10" i="60"/>
  <c r="G11" i="60"/>
  <c r="G12" i="60"/>
  <c r="G13" i="60"/>
  <c r="G14" i="60"/>
  <c r="G4" i="60"/>
  <c r="D5" i="60"/>
  <c r="D6" i="60"/>
  <c r="D7" i="60"/>
  <c r="D8" i="60"/>
  <c r="D9" i="60"/>
  <c r="D10" i="60"/>
  <c r="D11" i="60"/>
  <c r="D12" i="60"/>
  <c r="D13" i="60"/>
  <c r="D14" i="60"/>
  <c r="F5" i="60"/>
  <c r="F6" i="60"/>
  <c r="F7" i="60"/>
  <c r="F8" i="60"/>
  <c r="F9" i="60"/>
  <c r="F10" i="60"/>
  <c r="F11" i="60"/>
  <c r="F12" i="60"/>
  <c r="F13" i="60"/>
  <c r="F14" i="60"/>
  <c r="F4" i="60"/>
  <c r="D4" i="60"/>
  <c r="J26" i="66" l="1"/>
  <c r="I35" i="66"/>
  <c r="J35" i="66" s="1"/>
  <c r="I28" i="66"/>
  <c r="J28" i="66" s="1"/>
  <c r="I36" i="66"/>
  <c r="J36" i="66" s="1"/>
  <c r="C10" i="68"/>
  <c r="C9" i="68"/>
  <c r="C16" i="68"/>
  <c r="C8" i="68"/>
  <c r="C15" i="68"/>
  <c r="C7" i="68"/>
  <c r="C14" i="68"/>
  <c r="C6" i="68"/>
  <c r="C13" i="68"/>
  <c r="C12" i="68"/>
  <c r="C11" i="68"/>
  <c r="J46" i="66"/>
  <c r="J42" i="66"/>
  <c r="G50" i="66"/>
  <c r="G44" i="66"/>
  <c r="G45" i="66"/>
  <c r="G53" i="66"/>
  <c r="J51" i="66"/>
  <c r="J44" i="66"/>
  <c r="G48" i="66"/>
  <c r="J45" i="66"/>
  <c r="J53" i="66"/>
  <c r="J47" i="66"/>
  <c r="G43" i="66"/>
  <c r="K43" i="66" s="1"/>
  <c r="L43" i="66" s="1"/>
  <c r="G51" i="66"/>
  <c r="J48" i="66"/>
  <c r="J49" i="66"/>
  <c r="J50" i="66"/>
  <c r="G46" i="66"/>
  <c r="G42" i="66"/>
  <c r="K42" i="66" s="1"/>
  <c r="J43" i="66"/>
  <c r="G47" i="66"/>
  <c r="K47" i="66" s="1"/>
  <c r="L47" i="66" s="1"/>
  <c r="J52" i="66"/>
  <c r="G49" i="66"/>
  <c r="G52" i="66"/>
  <c r="H38" i="66"/>
  <c r="E32" i="66"/>
  <c r="I32" i="66" s="1"/>
  <c r="J32" i="66" s="1"/>
  <c r="E33" i="66"/>
  <c r="I33" i="66" s="1"/>
  <c r="I38" i="66" s="1"/>
  <c r="J30" i="66"/>
  <c r="E30" i="66"/>
  <c r="I30" i="66" s="1"/>
  <c r="E29" i="66"/>
  <c r="I29" i="66" s="1"/>
  <c r="J29" i="66" s="1"/>
  <c r="E31" i="66"/>
  <c r="I31" i="66" s="1"/>
  <c r="J31" i="66" s="1"/>
  <c r="E34" i="66"/>
  <c r="I34" i="66" s="1"/>
  <c r="J34" i="66" s="1"/>
  <c r="J37" i="66"/>
  <c r="F10" i="66"/>
  <c r="E22" i="66"/>
  <c r="F22" i="66" s="1"/>
  <c r="C344" i="56"/>
  <c r="C214" i="56"/>
  <c r="C32" i="56"/>
  <c r="C240" i="56"/>
  <c r="C318" i="56"/>
  <c r="C266" i="56"/>
  <c r="C84" i="56"/>
  <c r="C136" i="56"/>
  <c r="C162" i="56"/>
  <c r="C370" i="56"/>
  <c r="C58" i="56"/>
  <c r="C292" i="56"/>
  <c r="C110" i="56"/>
  <c r="C188" i="56"/>
  <c r="J33" i="66" l="1"/>
  <c r="K52" i="66"/>
  <c r="L52" i="66" s="1"/>
  <c r="K46" i="66"/>
  <c r="L46" i="66" s="1"/>
  <c r="K45" i="66"/>
  <c r="L45" i="66" s="1"/>
  <c r="K53" i="66"/>
  <c r="L53" i="66" s="1"/>
  <c r="K50" i="66"/>
  <c r="L50" i="66" s="1"/>
  <c r="J54" i="66"/>
  <c r="K44" i="66"/>
  <c r="L44" i="66" s="1"/>
  <c r="G54" i="66"/>
  <c r="K49" i="66"/>
  <c r="L49" i="66" s="1"/>
  <c r="K51" i="66"/>
  <c r="L51" i="66" s="1"/>
  <c r="L42" i="66"/>
  <c r="K48" i="66"/>
  <c r="L48" i="66" s="1"/>
  <c r="E38" i="66"/>
  <c r="C367" i="56"/>
  <c r="C397" i="56"/>
  <c r="C401" i="56" s="1"/>
  <c r="C394" i="56"/>
  <c r="C393" i="56"/>
  <c r="C371" i="56"/>
  <c r="D376" i="56" s="1"/>
  <c r="C368" i="56"/>
  <c r="C345" i="56"/>
  <c r="D351" i="56" s="1"/>
  <c r="C342" i="56"/>
  <c r="C341" i="56"/>
  <c r="C380" i="57"/>
  <c r="C379" i="57"/>
  <c r="C382" i="57"/>
  <c r="C390" i="57" s="1"/>
  <c r="C355" i="57"/>
  <c r="C354" i="57"/>
  <c r="C357" i="57"/>
  <c r="D365" i="57" s="1"/>
  <c r="C332" i="57"/>
  <c r="C337" i="57" s="1"/>
  <c r="C330" i="57"/>
  <c r="C329" i="57"/>
  <c r="C379" i="55"/>
  <c r="C378" i="55"/>
  <c r="C381" i="55"/>
  <c r="C387" i="55" s="1"/>
  <c r="C354" i="55"/>
  <c r="C353" i="55"/>
  <c r="C356" i="55"/>
  <c r="D361" i="55" s="1"/>
  <c r="C331" i="55"/>
  <c r="C338" i="55" s="1"/>
  <c r="C329" i="55"/>
  <c r="C328" i="55"/>
  <c r="U43" i="56"/>
  <c r="T43" i="56"/>
  <c r="U23" i="56"/>
  <c r="T23" i="56"/>
  <c r="K54" i="66" l="1"/>
  <c r="D385" i="56"/>
  <c r="C387" i="57"/>
  <c r="D395" i="55"/>
  <c r="D408" i="56"/>
  <c r="D378" i="56"/>
  <c r="D377" i="56"/>
  <c r="C376" i="56"/>
  <c r="D344" i="57"/>
  <c r="C344" i="57"/>
  <c r="D337" i="57"/>
  <c r="D361" i="57"/>
  <c r="D370" i="57"/>
  <c r="D360" i="55"/>
  <c r="C361" i="55"/>
  <c r="C355" i="56"/>
  <c r="D383" i="56"/>
  <c r="D352" i="56"/>
  <c r="D382" i="56"/>
  <c r="C351" i="56"/>
  <c r="C400" i="56"/>
  <c r="C377" i="56"/>
  <c r="D404" i="56"/>
  <c r="C359" i="56"/>
  <c r="C385" i="56"/>
  <c r="D356" i="56"/>
  <c r="C384" i="56"/>
  <c r="C338" i="57"/>
  <c r="C367" i="55"/>
  <c r="D391" i="55"/>
  <c r="D379" i="56"/>
  <c r="D381" i="56"/>
  <c r="D375" i="56"/>
  <c r="C381" i="56"/>
  <c r="D348" i="56"/>
  <c r="C374" i="56"/>
  <c r="C380" i="56"/>
  <c r="D366" i="57"/>
  <c r="C336" i="57"/>
  <c r="C347" i="57"/>
  <c r="D340" i="57"/>
  <c r="C365" i="57"/>
  <c r="D336" i="57"/>
  <c r="C346" i="57"/>
  <c r="C340" i="57"/>
  <c r="D362" i="57"/>
  <c r="C395" i="57"/>
  <c r="C343" i="57"/>
  <c r="C342" i="57"/>
  <c r="C369" i="57"/>
  <c r="D341" i="57"/>
  <c r="D345" i="57"/>
  <c r="C339" i="57"/>
  <c r="C391" i="57"/>
  <c r="D341" i="55"/>
  <c r="C341" i="55"/>
  <c r="D371" i="55"/>
  <c r="D366" i="55"/>
  <c r="D337" i="55"/>
  <c r="C371" i="55"/>
  <c r="C365" i="55"/>
  <c r="C337" i="55"/>
  <c r="D370" i="55"/>
  <c r="D364" i="55"/>
  <c r="C369" i="55"/>
  <c r="C364" i="55"/>
  <c r="D368" i="55"/>
  <c r="D363" i="55"/>
  <c r="D345" i="55"/>
  <c r="C368" i="55"/>
  <c r="C363" i="55"/>
  <c r="C345" i="55"/>
  <c r="C360" i="55"/>
  <c r="D367" i="55"/>
  <c r="D362" i="55"/>
  <c r="D358" i="56"/>
  <c r="D354" i="56"/>
  <c r="D350" i="56"/>
  <c r="D400" i="56"/>
  <c r="C408" i="56"/>
  <c r="C404" i="56"/>
  <c r="C358" i="56"/>
  <c r="C354" i="56"/>
  <c r="C350" i="56"/>
  <c r="C383" i="56"/>
  <c r="C379" i="56"/>
  <c r="C375" i="56"/>
  <c r="D411" i="56"/>
  <c r="D407" i="56"/>
  <c r="D403" i="56"/>
  <c r="C403" i="56"/>
  <c r="D357" i="56"/>
  <c r="D353" i="56"/>
  <c r="D349" i="56"/>
  <c r="C411" i="56"/>
  <c r="C407" i="56"/>
  <c r="C348" i="56"/>
  <c r="C357" i="56"/>
  <c r="C353" i="56"/>
  <c r="C349" i="56"/>
  <c r="D374" i="56"/>
  <c r="C382" i="56"/>
  <c r="C378" i="56"/>
  <c r="D410" i="56"/>
  <c r="D406" i="56"/>
  <c r="D402" i="56"/>
  <c r="C410" i="56"/>
  <c r="C406" i="56"/>
  <c r="C402" i="56"/>
  <c r="D401" i="56"/>
  <c r="C356" i="56"/>
  <c r="C352" i="56"/>
  <c r="D409" i="56"/>
  <c r="D405" i="56"/>
  <c r="D359" i="56"/>
  <c r="D355" i="56"/>
  <c r="D384" i="56"/>
  <c r="D380" i="56"/>
  <c r="C409" i="56"/>
  <c r="C405" i="56"/>
  <c r="D397" i="57"/>
  <c r="D393" i="57"/>
  <c r="D389" i="57"/>
  <c r="D368" i="57"/>
  <c r="D364" i="57"/>
  <c r="C397" i="57"/>
  <c r="C393" i="57"/>
  <c r="C389" i="57"/>
  <c r="D372" i="57"/>
  <c r="D347" i="57"/>
  <c r="D343" i="57"/>
  <c r="D339" i="57"/>
  <c r="C372" i="57"/>
  <c r="C368" i="57"/>
  <c r="C364" i="57"/>
  <c r="D396" i="57"/>
  <c r="D392" i="57"/>
  <c r="D388" i="57"/>
  <c r="D363" i="57"/>
  <c r="C396" i="57"/>
  <c r="C392" i="57"/>
  <c r="C388" i="57"/>
  <c r="D371" i="57"/>
  <c r="D367" i="57"/>
  <c r="D346" i="57"/>
  <c r="D342" i="57"/>
  <c r="D338" i="57"/>
  <c r="C371" i="57"/>
  <c r="C367" i="57"/>
  <c r="C363" i="57"/>
  <c r="D395" i="57"/>
  <c r="D391" i="57"/>
  <c r="D387" i="57"/>
  <c r="C370" i="57"/>
  <c r="C366" i="57"/>
  <c r="C362" i="57"/>
  <c r="C386" i="57"/>
  <c r="D394" i="57"/>
  <c r="D390" i="57"/>
  <c r="C345" i="57"/>
  <c r="C341" i="57"/>
  <c r="C361" i="57"/>
  <c r="D369" i="57"/>
  <c r="D386" i="57"/>
  <c r="C394" i="57"/>
  <c r="D344" i="55"/>
  <c r="D340" i="55"/>
  <c r="D336" i="55"/>
  <c r="D394" i="55"/>
  <c r="D390" i="55"/>
  <c r="D386" i="55"/>
  <c r="C344" i="55"/>
  <c r="C340" i="55"/>
  <c r="C336" i="55"/>
  <c r="C394" i="55"/>
  <c r="C390" i="55"/>
  <c r="C386" i="55"/>
  <c r="D343" i="55"/>
  <c r="D339" i="55"/>
  <c r="C335" i="55"/>
  <c r="C385" i="55"/>
  <c r="D393" i="55"/>
  <c r="D389" i="55"/>
  <c r="D335" i="55"/>
  <c r="C343" i="55"/>
  <c r="C339" i="55"/>
  <c r="D385" i="55"/>
  <c r="C393" i="55"/>
  <c r="C389" i="55"/>
  <c r="D346" i="55"/>
  <c r="D342" i="55"/>
  <c r="D338" i="55"/>
  <c r="C370" i="55"/>
  <c r="C366" i="55"/>
  <c r="C362" i="55"/>
  <c r="D396" i="55"/>
  <c r="D392" i="55"/>
  <c r="D388" i="55"/>
  <c r="C346" i="55"/>
  <c r="C342" i="55"/>
  <c r="D369" i="55"/>
  <c r="D365" i="55"/>
  <c r="C396" i="55"/>
  <c r="C392" i="55"/>
  <c r="C388" i="55"/>
  <c r="D387" i="55"/>
  <c r="C395" i="55"/>
  <c r="C391" i="55"/>
  <c r="C316" i="56"/>
  <c r="C315" i="56"/>
  <c r="C290" i="56"/>
  <c r="C289" i="56"/>
  <c r="C264" i="56"/>
  <c r="C263" i="56"/>
  <c r="C238" i="56"/>
  <c r="C237" i="56"/>
  <c r="C212" i="56"/>
  <c r="C211" i="56"/>
  <c r="C186" i="56"/>
  <c r="C185" i="56"/>
  <c r="C160" i="56"/>
  <c r="C159" i="56"/>
  <c r="C134" i="56"/>
  <c r="C133" i="56"/>
  <c r="C108" i="56"/>
  <c r="C107" i="56"/>
  <c r="C82" i="56"/>
  <c r="C81" i="56"/>
  <c r="C56" i="56"/>
  <c r="C55" i="56"/>
  <c r="C30" i="56"/>
  <c r="C29" i="56"/>
  <c r="J14" i="57"/>
  <c r="T14" i="57" s="1"/>
  <c r="J15" i="57"/>
  <c r="T15" i="57" s="1"/>
  <c r="J16" i="57"/>
  <c r="T16" i="57" s="1"/>
  <c r="J17" i="57"/>
  <c r="T17" i="57" s="1"/>
  <c r="J18" i="57"/>
  <c r="T18" i="57" s="1"/>
  <c r="J22" i="57"/>
  <c r="T22" i="57" s="1"/>
  <c r="C307" i="57"/>
  <c r="D322" i="57" s="1"/>
  <c r="C305" i="57"/>
  <c r="C304" i="57"/>
  <c r="C282" i="57"/>
  <c r="D296" i="57" s="1"/>
  <c r="C280" i="57"/>
  <c r="C279" i="57"/>
  <c r="C257" i="57"/>
  <c r="D268" i="57" s="1"/>
  <c r="C255" i="57"/>
  <c r="C254" i="57"/>
  <c r="C232" i="57"/>
  <c r="D247" i="57" s="1"/>
  <c r="C230" i="57"/>
  <c r="C229" i="57"/>
  <c r="C207" i="57"/>
  <c r="D212" i="57" s="1"/>
  <c r="C205" i="57"/>
  <c r="C204" i="57"/>
  <c r="C182" i="57"/>
  <c r="D195" i="57" s="1"/>
  <c r="C180" i="57"/>
  <c r="C179" i="57"/>
  <c r="C157" i="57"/>
  <c r="C170" i="57" s="1"/>
  <c r="C155" i="57"/>
  <c r="C154" i="57"/>
  <c r="C132" i="57"/>
  <c r="C140" i="57" s="1"/>
  <c r="C130" i="57"/>
  <c r="C129" i="57"/>
  <c r="C107" i="57"/>
  <c r="C121" i="57" s="1"/>
  <c r="C105" i="57"/>
  <c r="C104" i="57"/>
  <c r="C82" i="57"/>
  <c r="D95" i="57" s="1"/>
  <c r="C80" i="57"/>
  <c r="C79" i="57"/>
  <c r="C57" i="57"/>
  <c r="D70" i="57" s="1"/>
  <c r="C55" i="57"/>
  <c r="C54" i="57"/>
  <c r="BE43" i="57"/>
  <c r="BD43" i="57"/>
  <c r="C32" i="57"/>
  <c r="D47" i="57" s="1"/>
  <c r="C30" i="57"/>
  <c r="C29" i="57"/>
  <c r="AZ23" i="57"/>
  <c r="AY23" i="57"/>
  <c r="E23" i="57"/>
  <c r="F22" i="57"/>
  <c r="J21" i="57"/>
  <c r="T21" i="57" s="1"/>
  <c r="F21" i="57"/>
  <c r="J20" i="57"/>
  <c r="T20" i="57" s="1"/>
  <c r="F20" i="57"/>
  <c r="J19" i="57"/>
  <c r="T19" i="57" s="1"/>
  <c r="F19" i="57"/>
  <c r="F18" i="57"/>
  <c r="F17" i="57"/>
  <c r="F16" i="57"/>
  <c r="F15" i="57"/>
  <c r="F14" i="57"/>
  <c r="J13" i="57"/>
  <c r="T13" i="57" s="1"/>
  <c r="F13" i="57"/>
  <c r="J12" i="57"/>
  <c r="T12" i="57" s="1"/>
  <c r="F12" i="57"/>
  <c r="H5" i="68"/>
  <c r="C7" i="57"/>
  <c r="C3" i="57"/>
  <c r="C6" i="57" s="1"/>
  <c r="C56" i="55"/>
  <c r="C64" i="55" s="1"/>
  <c r="C306" i="55"/>
  <c r="C319" i="56"/>
  <c r="C323" i="56" s="1"/>
  <c r="C293" i="56"/>
  <c r="C297" i="56" s="1"/>
  <c r="C267" i="56"/>
  <c r="C273" i="56" s="1"/>
  <c r="C241" i="56"/>
  <c r="D248" i="56" s="1"/>
  <c r="C215" i="56"/>
  <c r="D220" i="56" s="1"/>
  <c r="C189" i="56"/>
  <c r="C195" i="56" s="1"/>
  <c r="C163" i="56"/>
  <c r="D167" i="56" s="1"/>
  <c r="C137" i="56"/>
  <c r="D143" i="56" s="1"/>
  <c r="C111" i="56"/>
  <c r="C115" i="56" s="1"/>
  <c r="C85" i="56"/>
  <c r="D90" i="56" s="1"/>
  <c r="C59" i="56"/>
  <c r="C66" i="56" s="1"/>
  <c r="C33" i="56"/>
  <c r="D46" i="56" s="1"/>
  <c r="C6" i="56"/>
  <c r="E11" i="56"/>
  <c r="E12" i="56"/>
  <c r="E13" i="56"/>
  <c r="E14" i="56"/>
  <c r="E15" i="56"/>
  <c r="E16" i="56"/>
  <c r="E17" i="56"/>
  <c r="E18" i="56"/>
  <c r="E19" i="56"/>
  <c r="E20" i="56"/>
  <c r="E21" i="56"/>
  <c r="E10" i="56"/>
  <c r="D23" i="56"/>
  <c r="C7" i="55"/>
  <c r="C31" i="55"/>
  <c r="C43" i="55" s="1"/>
  <c r="F11" i="55"/>
  <c r="F12" i="55"/>
  <c r="F13" i="55"/>
  <c r="F14" i="55"/>
  <c r="F15" i="55"/>
  <c r="F16" i="55"/>
  <c r="F17" i="55"/>
  <c r="F18" i="55"/>
  <c r="F19" i="55"/>
  <c r="F20" i="55"/>
  <c r="F21" i="55"/>
  <c r="F10" i="55"/>
  <c r="D22" i="55"/>
  <c r="AO23" i="57" l="1"/>
  <c r="H12" i="68"/>
  <c r="H8" i="68"/>
  <c r="H15" i="68"/>
  <c r="H11" i="68"/>
  <c r="H16" i="68"/>
  <c r="H6" i="68"/>
  <c r="H13" i="68"/>
  <c r="H7" i="68"/>
  <c r="H14" i="68"/>
  <c r="H9" i="68"/>
  <c r="H10" i="68"/>
  <c r="D12" i="68"/>
  <c r="D7" i="68"/>
  <c r="D11" i="68"/>
  <c r="D6" i="68"/>
  <c r="D16" i="68"/>
  <c r="D14" i="68"/>
  <c r="D10" i="68"/>
  <c r="D9" i="68"/>
  <c r="D13" i="68"/>
  <c r="D15" i="68"/>
  <c r="D8" i="68"/>
  <c r="AK15" i="57"/>
  <c r="AN15" i="57" s="1"/>
  <c r="AK23" i="57"/>
  <c r="AN23" i="57" s="1"/>
  <c r="AK16" i="57"/>
  <c r="AN16" i="57" s="1"/>
  <c r="AK11" i="57"/>
  <c r="AN11" i="57" s="1"/>
  <c r="AK18" i="57"/>
  <c r="AN18" i="57" s="1"/>
  <c r="AK17" i="57"/>
  <c r="AN17" i="57" s="1"/>
  <c r="AK19" i="57"/>
  <c r="AN19" i="57" s="1"/>
  <c r="AK13" i="57"/>
  <c r="AN13" i="57" s="1"/>
  <c r="AK14" i="57"/>
  <c r="AN14" i="57" s="1"/>
  <c r="AK22" i="57"/>
  <c r="AN22" i="57" s="1"/>
  <c r="AK12" i="57"/>
  <c r="AN12" i="57" s="1"/>
  <c r="AK20" i="57"/>
  <c r="AN20" i="57" s="1"/>
  <c r="AK21" i="57"/>
  <c r="AN21" i="57" s="1"/>
  <c r="H11" i="57"/>
  <c r="H20" i="57"/>
  <c r="H14" i="57"/>
  <c r="H19" i="57"/>
  <c r="H13" i="57"/>
  <c r="H16" i="57"/>
  <c r="H21" i="57"/>
  <c r="H17" i="57"/>
  <c r="H15" i="57"/>
  <c r="H22" i="57"/>
  <c r="H12" i="57"/>
  <c r="H18" i="57"/>
  <c r="J24" i="57"/>
  <c r="D397" i="55"/>
  <c r="D361" i="56"/>
  <c r="C413" i="56"/>
  <c r="C387" i="56"/>
  <c r="D413" i="56"/>
  <c r="C361" i="56"/>
  <c r="D348" i="57"/>
  <c r="D373" i="57"/>
  <c r="C348" i="57"/>
  <c r="C398" i="57"/>
  <c r="D347" i="55"/>
  <c r="C347" i="55"/>
  <c r="C397" i="55"/>
  <c r="D372" i="55"/>
  <c r="C372" i="55"/>
  <c r="C373" i="57"/>
  <c r="D387" i="56"/>
  <c r="D398" i="57"/>
  <c r="C38" i="55"/>
  <c r="D42" i="55"/>
  <c r="D39" i="55"/>
  <c r="D46" i="55"/>
  <c r="D115" i="57"/>
  <c r="C119" i="57"/>
  <c r="C37" i="55"/>
  <c r="C46" i="55"/>
  <c r="D43" i="55"/>
  <c r="D35" i="55"/>
  <c r="C89" i="56"/>
  <c r="C143" i="57"/>
  <c r="D197" i="57"/>
  <c r="D193" i="57"/>
  <c r="D121" i="57"/>
  <c r="C141" i="57"/>
  <c r="C145" i="57"/>
  <c r="D87" i="57"/>
  <c r="D122" i="57"/>
  <c r="D92" i="57"/>
  <c r="C38" i="57"/>
  <c r="C315" i="57"/>
  <c r="D45" i="57"/>
  <c r="D113" i="57"/>
  <c r="C42" i="57"/>
  <c r="D43" i="57"/>
  <c r="C70" i="57"/>
  <c r="D316" i="57"/>
  <c r="D38" i="57"/>
  <c r="C67" i="57"/>
  <c r="D112" i="57"/>
  <c r="C214" i="57"/>
  <c r="D319" i="57"/>
  <c r="D241" i="57"/>
  <c r="D41" i="57"/>
  <c r="C113" i="57"/>
  <c r="C39" i="57"/>
  <c r="D46" i="57"/>
  <c r="C95" i="57"/>
  <c r="D119" i="57"/>
  <c r="D143" i="57"/>
  <c r="C189" i="57"/>
  <c r="D216" i="57"/>
  <c r="C244" i="57"/>
  <c r="D314" i="57"/>
  <c r="C111" i="57"/>
  <c r="C116" i="57"/>
  <c r="C238" i="57"/>
  <c r="C318" i="57"/>
  <c r="F23" i="57"/>
  <c r="D111" i="57"/>
  <c r="C117" i="57"/>
  <c r="D238" i="57"/>
  <c r="C312" i="57"/>
  <c r="D318" i="57"/>
  <c r="C45" i="57"/>
  <c r="C112" i="57"/>
  <c r="D117" i="57"/>
  <c r="C241" i="57"/>
  <c r="D312" i="57"/>
  <c r="C319" i="57"/>
  <c r="C64" i="57"/>
  <c r="D61" i="57"/>
  <c r="D96" i="57"/>
  <c r="D167" i="57"/>
  <c r="D88" i="57"/>
  <c r="D186" i="57"/>
  <c r="C261" i="57"/>
  <c r="C41" i="57"/>
  <c r="D63" i="57"/>
  <c r="C66" i="57"/>
  <c r="C92" i="57"/>
  <c r="D140" i="57"/>
  <c r="D165" i="57"/>
  <c r="D188" i="57"/>
  <c r="C193" i="57"/>
  <c r="C197" i="57"/>
  <c r="D161" i="57"/>
  <c r="C194" i="57"/>
  <c r="C286" i="57"/>
  <c r="D64" i="57"/>
  <c r="C162" i="57"/>
  <c r="D297" i="57"/>
  <c r="D71" i="57"/>
  <c r="D190" i="57"/>
  <c r="C236" i="57"/>
  <c r="D288" i="57"/>
  <c r="C47" i="57"/>
  <c r="D68" i="57"/>
  <c r="C90" i="57"/>
  <c r="C138" i="57"/>
  <c r="C147" i="57"/>
  <c r="D163" i="57"/>
  <c r="D169" i="57"/>
  <c r="C191" i="57"/>
  <c r="C195" i="57"/>
  <c r="D236" i="57"/>
  <c r="D239" i="57"/>
  <c r="D242" i="57"/>
  <c r="C246" i="57"/>
  <c r="C270" i="57"/>
  <c r="C166" i="57"/>
  <c r="C61" i="57"/>
  <c r="D189" i="57"/>
  <c r="C190" i="57"/>
  <c r="C68" i="57"/>
  <c r="C169" i="57"/>
  <c r="C239" i="57"/>
  <c r="D39" i="57"/>
  <c r="C62" i="57"/>
  <c r="C72" i="57"/>
  <c r="C36" i="57"/>
  <c r="D65" i="57"/>
  <c r="C69" i="57"/>
  <c r="D72" i="57"/>
  <c r="C91" i="57"/>
  <c r="D114" i="57"/>
  <c r="D120" i="57"/>
  <c r="D147" i="57"/>
  <c r="C164" i="57"/>
  <c r="C171" i="57"/>
  <c r="C187" i="57"/>
  <c r="C192" i="57"/>
  <c r="C196" i="57"/>
  <c r="C243" i="57"/>
  <c r="D246" i="57"/>
  <c r="C272" i="57"/>
  <c r="D315" i="57"/>
  <c r="C322" i="57"/>
  <c r="D67" i="57"/>
  <c r="C167" i="57"/>
  <c r="C71" i="57"/>
  <c r="C186" i="57"/>
  <c r="D194" i="57"/>
  <c r="C245" i="57"/>
  <c r="D162" i="57"/>
  <c r="C242" i="57"/>
  <c r="D245" i="57"/>
  <c r="C65" i="57"/>
  <c r="D36" i="57"/>
  <c r="D44" i="57"/>
  <c r="C63" i="57"/>
  <c r="D69" i="57"/>
  <c r="D91" i="57"/>
  <c r="C115" i="57"/>
  <c r="C165" i="57"/>
  <c r="D171" i="57"/>
  <c r="C188" i="57"/>
  <c r="D192" i="57"/>
  <c r="D196" i="57"/>
  <c r="C237" i="57"/>
  <c r="C240" i="57"/>
  <c r="D243" i="57"/>
  <c r="C247" i="57"/>
  <c r="C316" i="57"/>
  <c r="J23" i="57"/>
  <c r="C37" i="57"/>
  <c r="D42" i="57"/>
  <c r="C94" i="57"/>
  <c r="D37" i="57"/>
  <c r="C40" i="57"/>
  <c r="D97" i="57"/>
  <c r="D93" i="57"/>
  <c r="D89" i="57"/>
  <c r="C97" i="57"/>
  <c r="C93" i="57"/>
  <c r="C89" i="57"/>
  <c r="D94" i="57"/>
  <c r="D90" i="57"/>
  <c r="D86" i="57"/>
  <c r="C96" i="57"/>
  <c r="D40" i="57"/>
  <c r="C43" i="57"/>
  <c r="C44" i="57"/>
  <c r="C46" i="57"/>
  <c r="C86" i="57"/>
  <c r="C87" i="57"/>
  <c r="C88" i="57"/>
  <c r="D145" i="57"/>
  <c r="D141" i="57"/>
  <c r="D137" i="57"/>
  <c r="C139" i="57"/>
  <c r="C137" i="57"/>
  <c r="D146" i="57"/>
  <c r="C146" i="57"/>
  <c r="D144" i="57"/>
  <c r="D142" i="57"/>
  <c r="D139" i="57"/>
  <c r="D136" i="57"/>
  <c r="C142" i="57"/>
  <c r="D138" i="57"/>
  <c r="C136" i="57"/>
  <c r="C144" i="57"/>
  <c r="D222" i="57"/>
  <c r="D218" i="57"/>
  <c r="D214" i="57"/>
  <c r="C221" i="57"/>
  <c r="C219" i="57"/>
  <c r="D217" i="57"/>
  <c r="D215" i="57"/>
  <c r="C217" i="57"/>
  <c r="C215" i="57"/>
  <c r="D213" i="57"/>
  <c r="D211" i="57"/>
  <c r="C213" i="57"/>
  <c r="C211" i="57"/>
  <c r="D220" i="57"/>
  <c r="C218" i="57"/>
  <c r="C216" i="57"/>
  <c r="C222" i="57"/>
  <c r="C220" i="57"/>
  <c r="D219" i="57"/>
  <c r="D221" i="57"/>
  <c r="C212" i="57"/>
  <c r="D62" i="57"/>
  <c r="D66" i="57"/>
  <c r="C122" i="57"/>
  <c r="C118" i="57"/>
  <c r="C114" i="57"/>
  <c r="D116" i="57"/>
  <c r="D118" i="57"/>
  <c r="C120" i="57"/>
  <c r="D166" i="57"/>
  <c r="C168" i="57"/>
  <c r="D172" i="57"/>
  <c r="D168" i="57"/>
  <c r="D164" i="57"/>
  <c r="D170" i="57"/>
  <c r="C172" i="57"/>
  <c r="C161" i="57"/>
  <c r="C163" i="57"/>
  <c r="C266" i="57"/>
  <c r="C268" i="57"/>
  <c r="D270" i="57"/>
  <c r="D272" i="57"/>
  <c r="D295" i="57"/>
  <c r="C296" i="57"/>
  <c r="C262" i="57"/>
  <c r="C264" i="57"/>
  <c r="D266" i="57"/>
  <c r="C292" i="57"/>
  <c r="C294" i="57"/>
  <c r="D271" i="57"/>
  <c r="D267" i="57"/>
  <c r="D263" i="57"/>
  <c r="C271" i="57"/>
  <c r="D269" i="57"/>
  <c r="C269" i="57"/>
  <c r="C267" i="57"/>
  <c r="D265" i="57"/>
  <c r="C265" i="57"/>
  <c r="C263" i="57"/>
  <c r="D261" i="57"/>
  <c r="D262" i="57"/>
  <c r="D264" i="57"/>
  <c r="D294" i="57"/>
  <c r="D290" i="57"/>
  <c r="D286" i="57"/>
  <c r="C297" i="57"/>
  <c r="C295" i="57"/>
  <c r="D293" i="57"/>
  <c r="D291" i="57"/>
  <c r="C293" i="57"/>
  <c r="C291" i="57"/>
  <c r="D289" i="57"/>
  <c r="D287" i="57"/>
  <c r="C289" i="57"/>
  <c r="C287" i="57"/>
  <c r="C288" i="57"/>
  <c r="C290" i="57"/>
  <c r="D292" i="57"/>
  <c r="D321" i="57"/>
  <c r="D317" i="57"/>
  <c r="D313" i="57"/>
  <c r="C321" i="57"/>
  <c r="C317" i="57"/>
  <c r="C313" i="57"/>
  <c r="C320" i="57"/>
  <c r="C311" i="57"/>
  <c r="D320" i="57"/>
  <c r="D187" i="57"/>
  <c r="D191" i="57"/>
  <c r="D244" i="57"/>
  <c r="D240" i="57"/>
  <c r="D237" i="57"/>
  <c r="D311" i="57"/>
  <c r="C314" i="57"/>
  <c r="C149" i="56"/>
  <c r="C141" i="56"/>
  <c r="D96" i="56"/>
  <c r="D278" i="56"/>
  <c r="C44" i="56"/>
  <c r="D307" i="56"/>
  <c r="C280" i="56"/>
  <c r="C73" i="56"/>
  <c r="C37" i="56"/>
  <c r="C64" i="56"/>
  <c r="C270" i="56"/>
  <c r="C68" i="56"/>
  <c r="C219" i="56"/>
  <c r="D299" i="56"/>
  <c r="C36" i="56"/>
  <c r="D67" i="56"/>
  <c r="D255" i="56"/>
  <c r="D329" i="56"/>
  <c r="C276" i="56"/>
  <c r="D71" i="56"/>
  <c r="D36" i="56"/>
  <c r="C65" i="56"/>
  <c r="C255" i="56"/>
  <c r="C329" i="56"/>
  <c r="C72" i="56"/>
  <c r="C97" i="56"/>
  <c r="D219" i="56"/>
  <c r="D246" i="56"/>
  <c r="C272" i="56"/>
  <c r="D64" i="56"/>
  <c r="C202" i="56"/>
  <c r="D250" i="56"/>
  <c r="D275" i="56"/>
  <c r="D328" i="56"/>
  <c r="C326" i="56"/>
  <c r="D254" i="56"/>
  <c r="C198" i="56"/>
  <c r="D247" i="56"/>
  <c r="C275" i="56"/>
  <c r="D72" i="56"/>
  <c r="D63" i="56"/>
  <c r="C223" i="56"/>
  <c r="C247" i="56"/>
  <c r="D274" i="56"/>
  <c r="C39" i="55"/>
  <c r="D38" i="55"/>
  <c r="D97" i="56"/>
  <c r="D89" i="56"/>
  <c r="C121" i="56"/>
  <c r="D149" i="56"/>
  <c r="D141" i="56"/>
  <c r="D296" i="56"/>
  <c r="C300" i="56"/>
  <c r="C330" i="56"/>
  <c r="D120" i="56"/>
  <c r="D114" i="56"/>
  <c r="D125" i="56"/>
  <c r="D306" i="56"/>
  <c r="D93" i="56"/>
  <c r="D145" i="56"/>
  <c r="C93" i="56"/>
  <c r="C145" i="56"/>
  <c r="D303" i="56"/>
  <c r="D333" i="56"/>
  <c r="D325" i="56"/>
  <c r="D146" i="56"/>
  <c r="C299" i="56"/>
  <c r="C96" i="56"/>
  <c r="C146" i="56"/>
  <c r="D298" i="56"/>
  <c r="C125" i="56"/>
  <c r="C194" i="56"/>
  <c r="C304" i="56"/>
  <c r="D124" i="56"/>
  <c r="D227" i="56"/>
  <c r="C43" i="56"/>
  <c r="C69" i="56"/>
  <c r="C88" i="56"/>
  <c r="D92" i="56"/>
  <c r="C122" i="56"/>
  <c r="D150" i="56"/>
  <c r="D142" i="56"/>
  <c r="C227" i="56"/>
  <c r="D251" i="56"/>
  <c r="D279" i="56"/>
  <c r="D271" i="56"/>
  <c r="C303" i="56"/>
  <c r="C333" i="56"/>
  <c r="C325" i="56"/>
  <c r="C118" i="56"/>
  <c r="C307" i="56"/>
  <c r="D117" i="56"/>
  <c r="C117" i="56"/>
  <c r="D322" i="56"/>
  <c r="D116" i="56"/>
  <c r="D43" i="56"/>
  <c r="D68" i="56"/>
  <c r="D88" i="56"/>
  <c r="C92" i="56"/>
  <c r="D121" i="56"/>
  <c r="C150" i="56"/>
  <c r="C142" i="56"/>
  <c r="D223" i="56"/>
  <c r="C251" i="56"/>
  <c r="C279" i="56"/>
  <c r="C271" i="56"/>
  <c r="D302" i="56"/>
  <c r="D332" i="56"/>
  <c r="D324" i="56"/>
  <c r="C174" i="56"/>
  <c r="D197" i="56"/>
  <c r="D173" i="56"/>
  <c r="C193" i="56"/>
  <c r="C177" i="56"/>
  <c r="D200" i="56"/>
  <c r="C254" i="56"/>
  <c r="C41" i="56"/>
  <c r="D73" i="56"/>
  <c r="D69" i="56"/>
  <c r="D65" i="56"/>
  <c r="C98" i="56"/>
  <c r="C94" i="56"/>
  <c r="C90" i="56"/>
  <c r="C114" i="56"/>
  <c r="D122" i="56"/>
  <c r="D118" i="56"/>
  <c r="C151" i="56"/>
  <c r="C147" i="56"/>
  <c r="C143" i="56"/>
  <c r="C175" i="56"/>
  <c r="C171" i="56"/>
  <c r="C167" i="56"/>
  <c r="D202" i="56"/>
  <c r="D198" i="56"/>
  <c r="D194" i="56"/>
  <c r="C228" i="56"/>
  <c r="C224" i="56"/>
  <c r="C220" i="56"/>
  <c r="D244" i="56"/>
  <c r="C252" i="56"/>
  <c r="C248" i="56"/>
  <c r="D280" i="56"/>
  <c r="D276" i="56"/>
  <c r="D272" i="56"/>
  <c r="C296" i="56"/>
  <c r="D304" i="56"/>
  <c r="D300" i="56"/>
  <c r="C322" i="56"/>
  <c r="D330" i="56"/>
  <c r="D326" i="56"/>
  <c r="C166" i="56"/>
  <c r="C170" i="56"/>
  <c r="C201" i="56"/>
  <c r="D226" i="56"/>
  <c r="C39" i="56"/>
  <c r="C169" i="56"/>
  <c r="C226" i="56"/>
  <c r="C250" i="56"/>
  <c r="D39" i="56"/>
  <c r="C45" i="56"/>
  <c r="C71" i="56"/>
  <c r="C67" i="56"/>
  <c r="C63" i="56"/>
  <c r="D99" i="56"/>
  <c r="D95" i="56"/>
  <c r="D91" i="56"/>
  <c r="C124" i="56"/>
  <c r="C120" i="56"/>
  <c r="C116" i="56"/>
  <c r="C140" i="56"/>
  <c r="D148" i="56"/>
  <c r="D144" i="56"/>
  <c r="D176" i="56"/>
  <c r="D172" i="56"/>
  <c r="D168" i="56"/>
  <c r="D192" i="56"/>
  <c r="C200" i="56"/>
  <c r="C196" i="56"/>
  <c r="D229" i="56"/>
  <c r="D225" i="56"/>
  <c r="D221" i="56"/>
  <c r="D253" i="56"/>
  <c r="D249" i="56"/>
  <c r="D245" i="56"/>
  <c r="D270" i="56"/>
  <c r="C278" i="56"/>
  <c r="C274" i="56"/>
  <c r="C306" i="56"/>
  <c r="C302" i="56"/>
  <c r="C298" i="56"/>
  <c r="C332" i="56"/>
  <c r="C328" i="56"/>
  <c r="C324" i="56"/>
  <c r="D170" i="56"/>
  <c r="D201" i="56"/>
  <c r="D177" i="56"/>
  <c r="C197" i="56"/>
  <c r="D222" i="56"/>
  <c r="D44" i="56"/>
  <c r="C173" i="56"/>
  <c r="D196" i="56"/>
  <c r="C222" i="56"/>
  <c r="C246" i="56"/>
  <c r="C40" i="56"/>
  <c r="C47" i="56"/>
  <c r="C62" i="56"/>
  <c r="D70" i="56"/>
  <c r="D66" i="56"/>
  <c r="C99" i="56"/>
  <c r="C95" i="56"/>
  <c r="C91" i="56"/>
  <c r="D123" i="56"/>
  <c r="D119" i="56"/>
  <c r="D115" i="56"/>
  <c r="D140" i="56"/>
  <c r="C148" i="56"/>
  <c r="C144" i="56"/>
  <c r="C176" i="56"/>
  <c r="C172" i="56"/>
  <c r="C168" i="56"/>
  <c r="D203" i="56"/>
  <c r="D199" i="56"/>
  <c r="D195" i="56"/>
  <c r="C229" i="56"/>
  <c r="C225" i="56"/>
  <c r="C221" i="56"/>
  <c r="C253" i="56"/>
  <c r="C249" i="56"/>
  <c r="C245" i="56"/>
  <c r="D281" i="56"/>
  <c r="D277" i="56"/>
  <c r="D273" i="56"/>
  <c r="D305" i="56"/>
  <c r="D301" i="56"/>
  <c r="D297" i="56"/>
  <c r="D331" i="56"/>
  <c r="D327" i="56"/>
  <c r="D323" i="56"/>
  <c r="D174" i="56"/>
  <c r="D166" i="56"/>
  <c r="D193" i="56"/>
  <c r="D169" i="56"/>
  <c r="C218" i="56"/>
  <c r="C192" i="56"/>
  <c r="D218" i="56"/>
  <c r="D40" i="56"/>
  <c r="D47" i="56"/>
  <c r="D62" i="56"/>
  <c r="C70" i="56"/>
  <c r="D98" i="56"/>
  <c r="D94" i="56"/>
  <c r="C123" i="56"/>
  <c r="C119" i="56"/>
  <c r="D151" i="56"/>
  <c r="D147" i="56"/>
  <c r="D175" i="56"/>
  <c r="D171" i="56"/>
  <c r="C203" i="56"/>
  <c r="C199" i="56"/>
  <c r="D228" i="56"/>
  <c r="D224" i="56"/>
  <c r="C244" i="56"/>
  <c r="D252" i="56"/>
  <c r="C281" i="56"/>
  <c r="C277" i="56"/>
  <c r="C305" i="56"/>
  <c r="C301" i="56"/>
  <c r="C331" i="56"/>
  <c r="C327" i="56"/>
  <c r="D37" i="56"/>
  <c r="D41" i="56"/>
  <c r="D45" i="56"/>
  <c r="C38" i="56"/>
  <c r="C42" i="56"/>
  <c r="C46" i="56"/>
  <c r="D38" i="56"/>
  <c r="D42" i="56"/>
  <c r="D37" i="55"/>
  <c r="C45" i="55"/>
  <c r="C41" i="55"/>
  <c r="D36" i="55"/>
  <c r="C42" i="55"/>
  <c r="D45" i="55"/>
  <c r="D44" i="55"/>
  <c r="D40" i="55"/>
  <c r="C36" i="55"/>
  <c r="D41" i="55"/>
  <c r="C44" i="55"/>
  <c r="C40" i="55"/>
  <c r="K15" i="56"/>
  <c r="F23" i="56"/>
  <c r="C2" i="56"/>
  <c r="E23" i="56"/>
  <c r="C23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C281" i="55"/>
  <c r="C256" i="55"/>
  <c r="C231" i="55"/>
  <c r="C206" i="55"/>
  <c r="C181" i="55"/>
  <c r="C156" i="55"/>
  <c r="C131" i="55"/>
  <c r="C81" i="55"/>
  <c r="C106" i="55"/>
  <c r="C303" i="55"/>
  <c r="C304" i="55"/>
  <c r="C278" i="55"/>
  <c r="C279" i="55"/>
  <c r="C253" i="55"/>
  <c r="C254" i="55"/>
  <c r="C228" i="55"/>
  <c r="C229" i="55"/>
  <c r="C203" i="55"/>
  <c r="C204" i="55"/>
  <c r="C178" i="55"/>
  <c r="C179" i="55"/>
  <c r="C153" i="55"/>
  <c r="C154" i="55"/>
  <c r="C128" i="55"/>
  <c r="C129" i="55"/>
  <c r="C103" i="55"/>
  <c r="C104" i="55"/>
  <c r="C78" i="55"/>
  <c r="C79" i="55"/>
  <c r="C53" i="55"/>
  <c r="C54" i="55"/>
  <c r="C28" i="55"/>
  <c r="C29" i="55"/>
  <c r="T23" i="57" l="1"/>
  <c r="AN24" i="57"/>
  <c r="AN25" i="57"/>
  <c r="G15" i="57"/>
  <c r="AQ13" i="57"/>
  <c r="AQ21" i="57"/>
  <c r="AQ19" i="57"/>
  <c r="AQ23" i="57"/>
  <c r="AR23" i="57"/>
  <c r="AP23" i="57"/>
  <c r="AQ12" i="57"/>
  <c r="AQ20" i="57"/>
  <c r="AQ14" i="57"/>
  <c r="AQ15" i="57"/>
  <c r="AQ16" i="57"/>
  <c r="AQ18" i="57"/>
  <c r="AQ22" i="57"/>
  <c r="AQ17" i="57"/>
  <c r="AQ11" i="57"/>
  <c r="D17" i="68"/>
  <c r="G13" i="57"/>
  <c r="E7" i="68"/>
  <c r="G12" i="57"/>
  <c r="E6" i="68"/>
  <c r="BA21" i="57"/>
  <c r="E15" i="68"/>
  <c r="BA19" i="57"/>
  <c r="E13" i="68"/>
  <c r="G17" i="57"/>
  <c r="E11" i="68"/>
  <c r="BA22" i="57"/>
  <c r="E16" i="68"/>
  <c r="G14" i="57"/>
  <c r="E8" i="68"/>
  <c r="G11" i="57"/>
  <c r="E5" i="68"/>
  <c r="G18" i="57"/>
  <c r="E12" i="68"/>
  <c r="BA15" i="57"/>
  <c r="E9" i="68"/>
  <c r="G16" i="57"/>
  <c r="E10" i="68"/>
  <c r="BA20" i="57"/>
  <c r="E14" i="68"/>
  <c r="AL13" i="57"/>
  <c r="AM13" i="57"/>
  <c r="AL17" i="57"/>
  <c r="AM17" i="57"/>
  <c r="AL21" i="57"/>
  <c r="AM21" i="57"/>
  <c r="AL18" i="57"/>
  <c r="AM18" i="57"/>
  <c r="AL20" i="57"/>
  <c r="AM20" i="57"/>
  <c r="AL11" i="57"/>
  <c r="AM11" i="57"/>
  <c r="AL19" i="57"/>
  <c r="AM19" i="57"/>
  <c r="AL12" i="57"/>
  <c r="AM12" i="57"/>
  <c r="AL16" i="57"/>
  <c r="AM16" i="57"/>
  <c r="AL22" i="57"/>
  <c r="AM22" i="57"/>
  <c r="AL23" i="57"/>
  <c r="AM23" i="57"/>
  <c r="AL14" i="57"/>
  <c r="AM14" i="57"/>
  <c r="AL15" i="57"/>
  <c r="AM15" i="57"/>
  <c r="G20" i="57"/>
  <c r="BA18" i="57"/>
  <c r="BA17" i="57"/>
  <c r="BA14" i="57"/>
  <c r="BA13" i="57"/>
  <c r="G19" i="57"/>
  <c r="G21" i="57"/>
  <c r="G22" i="57"/>
  <c r="N16" i="57"/>
  <c r="N19" i="57"/>
  <c r="N12" i="57"/>
  <c r="N11" i="57"/>
  <c r="N17" i="57"/>
  <c r="N13" i="57"/>
  <c r="N14" i="57"/>
  <c r="N18" i="57"/>
  <c r="N20" i="57"/>
  <c r="N21" i="57"/>
  <c r="N22" i="57"/>
  <c r="N15" i="57"/>
  <c r="H24" i="57"/>
  <c r="K11" i="57" s="1"/>
  <c r="BA16" i="57"/>
  <c r="BA12" i="57"/>
  <c r="I14" i="56"/>
  <c r="V15" i="56"/>
  <c r="G17" i="56"/>
  <c r="V18" i="56"/>
  <c r="I10" i="56"/>
  <c r="V11" i="56"/>
  <c r="I11" i="56"/>
  <c r="L10" i="56" s="1"/>
  <c r="V12" i="56"/>
  <c r="I12" i="56"/>
  <c r="V13" i="56"/>
  <c r="G20" i="56"/>
  <c r="V21" i="56"/>
  <c r="G15" i="56"/>
  <c r="V16" i="56"/>
  <c r="G16" i="56"/>
  <c r="V17" i="56"/>
  <c r="G18" i="56"/>
  <c r="V19" i="56"/>
  <c r="I19" i="56"/>
  <c r="V20" i="56"/>
  <c r="I13" i="56"/>
  <c r="V14" i="56"/>
  <c r="I21" i="56"/>
  <c r="V22" i="56"/>
  <c r="C5" i="56"/>
  <c r="H23" i="57"/>
  <c r="U11" i="57" s="1"/>
  <c r="C73" i="57"/>
  <c r="C198" i="57"/>
  <c r="C248" i="57"/>
  <c r="D248" i="57"/>
  <c r="D273" i="57"/>
  <c r="C273" i="57"/>
  <c r="BA11" i="57"/>
  <c r="D73" i="57"/>
  <c r="D48" i="57"/>
  <c r="D98" i="57" s="1"/>
  <c r="D198" i="57"/>
  <c r="C298" i="57"/>
  <c r="D123" i="57"/>
  <c r="D298" i="57"/>
  <c r="C173" i="57"/>
  <c r="C223" i="57"/>
  <c r="D323" i="57"/>
  <c r="C98" i="57"/>
  <c r="D223" i="57"/>
  <c r="C123" i="57"/>
  <c r="D173" i="57"/>
  <c r="D148" i="57"/>
  <c r="C48" i="57"/>
  <c r="C148" i="57"/>
  <c r="C323" i="57"/>
  <c r="G10" i="56"/>
  <c r="C127" i="56"/>
  <c r="D335" i="56"/>
  <c r="D127" i="56"/>
  <c r="D75" i="56"/>
  <c r="C309" i="56"/>
  <c r="D283" i="56"/>
  <c r="C101" i="56"/>
  <c r="D153" i="56"/>
  <c r="C49" i="56"/>
  <c r="C283" i="56"/>
  <c r="C153" i="56"/>
  <c r="D231" i="56"/>
  <c r="C257" i="56"/>
  <c r="C179" i="56"/>
  <c r="D101" i="56"/>
  <c r="D205" i="56"/>
  <c r="D179" i="56"/>
  <c r="D309" i="56"/>
  <c r="C205" i="56"/>
  <c r="C75" i="56"/>
  <c r="C231" i="56"/>
  <c r="D49" i="56"/>
  <c r="C335" i="56"/>
  <c r="D257" i="56"/>
  <c r="C211" i="55"/>
  <c r="C215" i="55"/>
  <c r="C219" i="55"/>
  <c r="D220" i="55"/>
  <c r="D211" i="55"/>
  <c r="D215" i="55"/>
  <c r="D219" i="55"/>
  <c r="D212" i="55"/>
  <c r="C212" i="55"/>
  <c r="C216" i="55"/>
  <c r="C220" i="55"/>
  <c r="D216" i="55"/>
  <c r="C214" i="55"/>
  <c r="C218" i="55"/>
  <c r="D210" i="55"/>
  <c r="D214" i="55"/>
  <c r="D218" i="55"/>
  <c r="C210" i="55"/>
  <c r="C213" i="55"/>
  <c r="C221" i="55"/>
  <c r="D213" i="55"/>
  <c r="C217" i="55"/>
  <c r="D217" i="55"/>
  <c r="D221" i="55"/>
  <c r="D136" i="55"/>
  <c r="D140" i="55"/>
  <c r="D144" i="55"/>
  <c r="C138" i="55"/>
  <c r="C137" i="55"/>
  <c r="C141" i="55"/>
  <c r="C145" i="55"/>
  <c r="C142" i="55"/>
  <c r="D137" i="55"/>
  <c r="D141" i="55"/>
  <c r="D145" i="55"/>
  <c r="C146" i="55"/>
  <c r="D139" i="55"/>
  <c r="D143" i="55"/>
  <c r="C135" i="55"/>
  <c r="C136" i="55"/>
  <c r="D135" i="55"/>
  <c r="C140" i="55"/>
  <c r="D138" i="55"/>
  <c r="C139" i="55"/>
  <c r="D142" i="55"/>
  <c r="C143" i="55"/>
  <c r="C144" i="55"/>
  <c r="D146" i="55"/>
  <c r="C164" i="55"/>
  <c r="C168" i="55"/>
  <c r="D160" i="55"/>
  <c r="D169" i="55"/>
  <c r="D164" i="55"/>
  <c r="D168" i="55"/>
  <c r="C160" i="55"/>
  <c r="D161" i="55"/>
  <c r="C161" i="55"/>
  <c r="C165" i="55"/>
  <c r="C169" i="55"/>
  <c r="D165" i="55"/>
  <c r="C163" i="55"/>
  <c r="C167" i="55"/>
  <c r="C171" i="55"/>
  <c r="D162" i="55"/>
  <c r="D167" i="55"/>
  <c r="C170" i="55"/>
  <c r="D170" i="55"/>
  <c r="D163" i="55"/>
  <c r="D166" i="55"/>
  <c r="C166" i="55"/>
  <c r="C162" i="55"/>
  <c r="D171" i="55"/>
  <c r="D189" i="55"/>
  <c r="D193" i="55"/>
  <c r="C185" i="55"/>
  <c r="C191" i="55"/>
  <c r="C186" i="55"/>
  <c r="C190" i="55"/>
  <c r="C194" i="55"/>
  <c r="C195" i="55"/>
  <c r="D186" i="55"/>
  <c r="D190" i="55"/>
  <c r="D194" i="55"/>
  <c r="C187" i="55"/>
  <c r="D188" i="55"/>
  <c r="D192" i="55"/>
  <c r="D196" i="55"/>
  <c r="C189" i="55"/>
  <c r="C193" i="55"/>
  <c r="D185" i="55"/>
  <c r="C188" i="55"/>
  <c r="C192" i="55"/>
  <c r="D195" i="55"/>
  <c r="D187" i="55"/>
  <c r="D191" i="55"/>
  <c r="C196" i="55"/>
  <c r="C237" i="55"/>
  <c r="C241" i="55"/>
  <c r="C245" i="55"/>
  <c r="D242" i="55"/>
  <c r="D237" i="55"/>
  <c r="D241" i="55"/>
  <c r="D245" i="55"/>
  <c r="D238" i="55"/>
  <c r="C238" i="55"/>
  <c r="C242" i="55"/>
  <c r="C246" i="55"/>
  <c r="D246" i="55"/>
  <c r="C236" i="55"/>
  <c r="C240" i="55"/>
  <c r="C244" i="55"/>
  <c r="D236" i="55"/>
  <c r="D240" i="55"/>
  <c r="D244" i="55"/>
  <c r="C243" i="55"/>
  <c r="D243" i="55"/>
  <c r="C235" i="55"/>
  <c r="C239" i="55"/>
  <c r="D235" i="55"/>
  <c r="D239" i="55"/>
  <c r="D112" i="55"/>
  <c r="D116" i="55"/>
  <c r="D120" i="55"/>
  <c r="D110" i="55"/>
  <c r="C113" i="55"/>
  <c r="C117" i="55"/>
  <c r="C121" i="55"/>
  <c r="C118" i="55"/>
  <c r="D113" i="55"/>
  <c r="D117" i="55"/>
  <c r="D121" i="55"/>
  <c r="C114" i="55"/>
  <c r="D111" i="55"/>
  <c r="D115" i="55"/>
  <c r="D119" i="55"/>
  <c r="C120" i="55"/>
  <c r="D118" i="55"/>
  <c r="C111" i="55"/>
  <c r="C110" i="55"/>
  <c r="C115" i="55"/>
  <c r="C116" i="55"/>
  <c r="C112" i="55"/>
  <c r="D114" i="55"/>
  <c r="C119" i="55"/>
  <c r="C263" i="55"/>
  <c r="C267" i="55"/>
  <c r="C271" i="55"/>
  <c r="D264" i="55"/>
  <c r="D263" i="55"/>
  <c r="D267" i="55"/>
  <c r="D271" i="55"/>
  <c r="D268" i="55"/>
  <c r="C264" i="55"/>
  <c r="C268" i="55"/>
  <c r="D260" i="55"/>
  <c r="C260" i="55"/>
  <c r="C262" i="55"/>
  <c r="C266" i="55"/>
  <c r="C270" i="55"/>
  <c r="D262" i="55"/>
  <c r="D266" i="55"/>
  <c r="D270" i="55"/>
  <c r="D261" i="55"/>
  <c r="C269" i="55"/>
  <c r="D265" i="55"/>
  <c r="C261" i="55"/>
  <c r="C265" i="55"/>
  <c r="D269" i="55"/>
  <c r="D87" i="55"/>
  <c r="D91" i="55"/>
  <c r="D95" i="55"/>
  <c r="D85" i="55"/>
  <c r="C88" i="55"/>
  <c r="C92" i="55"/>
  <c r="C96" i="55"/>
  <c r="C89" i="55"/>
  <c r="D88" i="55"/>
  <c r="D92" i="55"/>
  <c r="D96" i="55"/>
  <c r="C93" i="55"/>
  <c r="D86" i="55"/>
  <c r="D90" i="55"/>
  <c r="D94" i="55"/>
  <c r="D89" i="55"/>
  <c r="C94" i="55"/>
  <c r="C90" i="55"/>
  <c r="D93" i="55"/>
  <c r="C85" i="55"/>
  <c r="C91" i="55"/>
  <c r="C95" i="55"/>
  <c r="C86" i="55"/>
  <c r="C87" i="55"/>
  <c r="C286" i="55"/>
  <c r="C290" i="55"/>
  <c r="C294" i="55"/>
  <c r="D286" i="55"/>
  <c r="D290" i="55"/>
  <c r="D294" i="55"/>
  <c r="D295" i="55"/>
  <c r="C287" i="55"/>
  <c r="C291" i="55"/>
  <c r="C295" i="55"/>
  <c r="D287" i="55"/>
  <c r="D291" i="55"/>
  <c r="C289" i="55"/>
  <c r="C293" i="55"/>
  <c r="D285" i="55"/>
  <c r="D289" i="55"/>
  <c r="D293" i="55"/>
  <c r="C285" i="55"/>
  <c r="C288" i="55"/>
  <c r="D296" i="55"/>
  <c r="D288" i="55"/>
  <c r="C296" i="55"/>
  <c r="C292" i="55"/>
  <c r="D292" i="55"/>
  <c r="D62" i="55"/>
  <c r="D66" i="55"/>
  <c r="D70" i="55"/>
  <c r="C71" i="55"/>
  <c r="C68" i="55"/>
  <c r="C63" i="55"/>
  <c r="C67" i="55"/>
  <c r="D63" i="55"/>
  <c r="D67" i="55"/>
  <c r="D71" i="55"/>
  <c r="D60" i="55"/>
  <c r="D61" i="55"/>
  <c r="D65" i="55"/>
  <c r="D69" i="55"/>
  <c r="C62" i="55"/>
  <c r="C69" i="55"/>
  <c r="C70" i="55"/>
  <c r="D64" i="55"/>
  <c r="C65" i="55"/>
  <c r="C66" i="55"/>
  <c r="D68" i="55"/>
  <c r="C61" i="55"/>
  <c r="C60" i="55"/>
  <c r="D313" i="55"/>
  <c r="D317" i="55"/>
  <c r="D321" i="55"/>
  <c r="C315" i="55"/>
  <c r="D319" i="55"/>
  <c r="C314" i="55"/>
  <c r="C318" i="55"/>
  <c r="D310" i="55"/>
  <c r="C319" i="55"/>
  <c r="D315" i="55"/>
  <c r="D314" i="55"/>
  <c r="D318" i="55"/>
  <c r="C310" i="55"/>
  <c r="C311" i="55"/>
  <c r="D311" i="55"/>
  <c r="C312" i="55"/>
  <c r="D312" i="55"/>
  <c r="D316" i="55"/>
  <c r="D320" i="55"/>
  <c r="C313" i="55"/>
  <c r="C317" i="55"/>
  <c r="C321" i="55"/>
  <c r="C320" i="55"/>
  <c r="C316" i="55"/>
  <c r="C35" i="55"/>
  <c r="C27" i="56"/>
  <c r="C28" i="56" s="1"/>
  <c r="K14" i="56"/>
  <c r="K13" i="56"/>
  <c r="K10" i="56"/>
  <c r="K21" i="56"/>
  <c r="K17" i="56"/>
  <c r="K12" i="56"/>
  <c r="K16" i="56"/>
  <c r="K20" i="56"/>
  <c r="K11" i="56"/>
  <c r="K19" i="56"/>
  <c r="K18" i="56"/>
  <c r="I17" i="56"/>
  <c r="I16" i="56"/>
  <c r="I18" i="56"/>
  <c r="I20" i="56"/>
  <c r="I15" i="56"/>
  <c r="G13" i="56"/>
  <c r="G21" i="56"/>
  <c r="G12" i="56"/>
  <c r="H23" i="56"/>
  <c r="G14" i="56"/>
  <c r="G11" i="56"/>
  <c r="G19" i="56"/>
  <c r="AL24" i="57" l="1"/>
  <c r="AL25" i="57"/>
  <c r="AQ25" i="57"/>
  <c r="AQ24" i="57"/>
  <c r="AM24" i="57"/>
  <c r="AM25" i="57"/>
  <c r="V11" i="57"/>
  <c r="U12" i="57"/>
  <c r="U20" i="57"/>
  <c r="U15" i="57"/>
  <c r="U18" i="57"/>
  <c r="U19" i="57"/>
  <c r="U13" i="57"/>
  <c r="U17" i="57"/>
  <c r="U14" i="57"/>
  <c r="U22" i="57"/>
  <c r="U16" i="57"/>
  <c r="F5" i="68"/>
  <c r="I5" i="68"/>
  <c r="O18" i="57"/>
  <c r="I12" i="68"/>
  <c r="O15" i="57"/>
  <c r="I9" i="68"/>
  <c r="O22" i="57"/>
  <c r="I16" i="68"/>
  <c r="O12" i="57"/>
  <c r="I6" i="68"/>
  <c r="O14" i="57"/>
  <c r="I8" i="68"/>
  <c r="O13" i="57"/>
  <c r="I7" i="68"/>
  <c r="O17" i="57"/>
  <c r="I11" i="68"/>
  <c r="O21" i="57"/>
  <c r="I15" i="68"/>
  <c r="O19" i="57"/>
  <c r="I13" i="68"/>
  <c r="O11" i="57"/>
  <c r="O20" i="57"/>
  <c r="I14" i="68"/>
  <c r="O16" i="57"/>
  <c r="I10" i="68"/>
  <c r="K17" i="57"/>
  <c r="G24" i="57"/>
  <c r="L21" i="57" s="1"/>
  <c r="AA21" i="57" s="1"/>
  <c r="AB21" i="57" s="1"/>
  <c r="G23" i="56"/>
  <c r="V23" i="56"/>
  <c r="H2" i="56"/>
  <c r="C53" i="56"/>
  <c r="C54" i="56" s="1"/>
  <c r="BA23" i="57"/>
  <c r="G23" i="57"/>
  <c r="K20" i="57"/>
  <c r="K19" i="57"/>
  <c r="K13" i="57"/>
  <c r="K22" i="57"/>
  <c r="K14" i="57"/>
  <c r="K15" i="57"/>
  <c r="K21" i="57"/>
  <c r="K18" i="57"/>
  <c r="K12" i="57"/>
  <c r="K16" i="57"/>
  <c r="D247" i="55"/>
  <c r="D297" i="55"/>
  <c r="D322" i="55"/>
  <c r="D222" i="55"/>
  <c r="D272" i="55"/>
  <c r="D172" i="55"/>
  <c r="D197" i="55"/>
  <c r="D122" i="55"/>
  <c r="D147" i="55"/>
  <c r="C72" i="55"/>
  <c r="D47" i="55"/>
  <c r="D97" i="55" s="1"/>
  <c r="D72" i="55"/>
  <c r="C31" i="56"/>
  <c r="H4" i="56"/>
  <c r="H3" i="56"/>
  <c r="K23" i="56"/>
  <c r="L16" i="56"/>
  <c r="L18" i="56"/>
  <c r="L20" i="56"/>
  <c r="L17" i="56"/>
  <c r="L19" i="56"/>
  <c r="L11" i="56"/>
  <c r="L12" i="56"/>
  <c r="L21" i="56"/>
  <c r="L13" i="56"/>
  <c r="L15" i="56"/>
  <c r="L14" i="56"/>
  <c r="H24" i="56"/>
  <c r="G24" i="56"/>
  <c r="V19" i="57" l="1"/>
  <c r="V15" i="57"/>
  <c r="V22" i="57"/>
  <c r="V13" i="57"/>
  <c r="V18" i="57"/>
  <c r="V16" i="57"/>
  <c r="V20" i="57"/>
  <c r="V14" i="57"/>
  <c r="V12" i="57"/>
  <c r="V17" i="57"/>
  <c r="V21" i="57"/>
  <c r="L11" i="57"/>
  <c r="F12" i="68"/>
  <c r="F16" i="68"/>
  <c r="F7" i="68"/>
  <c r="F11" i="68"/>
  <c r="F9" i="68"/>
  <c r="F10" i="68"/>
  <c r="F13" i="68"/>
  <c r="F8" i="68"/>
  <c r="F6" i="68"/>
  <c r="F14" i="68"/>
  <c r="J15" i="68"/>
  <c r="J10" i="68"/>
  <c r="J11" i="68"/>
  <c r="J7" i="68"/>
  <c r="J6" i="68"/>
  <c r="J16" i="68"/>
  <c r="J14" i="68"/>
  <c r="J5" i="68"/>
  <c r="J9" i="68"/>
  <c r="J13" i="68"/>
  <c r="J8" i="68"/>
  <c r="J12" i="68"/>
  <c r="L18" i="57"/>
  <c r="AA18" i="57" s="1"/>
  <c r="AB18" i="57" s="1"/>
  <c r="O23" i="57"/>
  <c r="L17" i="57"/>
  <c r="AA17" i="57" s="1"/>
  <c r="AB17" i="57" s="1"/>
  <c r="M21" i="57"/>
  <c r="F15" i="68"/>
  <c r="L14" i="57"/>
  <c r="L12" i="57"/>
  <c r="L15" i="57"/>
  <c r="L20" i="57"/>
  <c r="AA20" i="57" s="1"/>
  <c r="AB20" i="57" s="1"/>
  <c r="AG21" i="57"/>
  <c r="AJ21" i="57" s="1"/>
  <c r="L22" i="57"/>
  <c r="AA22" i="57" s="1"/>
  <c r="AB22" i="57" s="1"/>
  <c r="L13" i="57"/>
  <c r="L19" i="57"/>
  <c r="L16" i="57"/>
  <c r="AA16" i="57" s="1"/>
  <c r="AB16" i="57" s="1"/>
  <c r="C79" i="56"/>
  <c r="C80" i="56" s="1"/>
  <c r="C57" i="56"/>
  <c r="I3" i="56"/>
  <c r="J3" i="56" s="1"/>
  <c r="I4" i="56"/>
  <c r="J4" i="56" s="1"/>
  <c r="I2" i="56"/>
  <c r="J2" i="56" s="1"/>
  <c r="M15" i="57" l="1"/>
  <c r="P15" i="57" s="1"/>
  <c r="AA15" i="57"/>
  <c r="AB15" i="57" s="1"/>
  <c r="M12" i="57"/>
  <c r="P12" i="57" s="1"/>
  <c r="AA12" i="57"/>
  <c r="AB12" i="57" s="1"/>
  <c r="AG14" i="57"/>
  <c r="AJ14" i="57" s="1"/>
  <c r="AA14" i="57"/>
  <c r="AB14" i="57" s="1"/>
  <c r="AC14" i="57" s="1"/>
  <c r="AG19" i="57"/>
  <c r="AJ19" i="57" s="1"/>
  <c r="AA19" i="57"/>
  <c r="AB19" i="57" s="1"/>
  <c r="AG13" i="57"/>
  <c r="AJ13" i="57" s="1"/>
  <c r="AA13" i="57"/>
  <c r="AB13" i="57" s="1"/>
  <c r="AA11" i="57"/>
  <c r="AB11" i="57" s="1"/>
  <c r="AC11" i="57" s="1"/>
  <c r="AG11" i="57"/>
  <c r="AJ11" i="57" s="1"/>
  <c r="M11" i="57"/>
  <c r="P11" i="57" s="1"/>
  <c r="Q11" i="57" s="1"/>
  <c r="M14" i="57"/>
  <c r="P14" i="57" s="1"/>
  <c r="AG17" i="57"/>
  <c r="AJ17" i="57" s="1"/>
  <c r="M17" i="57"/>
  <c r="M18" i="57"/>
  <c r="G12" i="68" s="1"/>
  <c r="AG18" i="57"/>
  <c r="AJ18" i="57" s="1"/>
  <c r="J17" i="68"/>
  <c r="G15" i="68"/>
  <c r="P21" i="57"/>
  <c r="S21" i="57" s="1"/>
  <c r="AE17" i="57"/>
  <c r="G9" i="68"/>
  <c r="AC20" i="57"/>
  <c r="AE20" i="57"/>
  <c r="AC18" i="57"/>
  <c r="AE18" i="57"/>
  <c r="AC21" i="57"/>
  <c r="AE21" i="57"/>
  <c r="AG15" i="57"/>
  <c r="AG20" i="57"/>
  <c r="M20" i="57"/>
  <c r="AG12" i="57"/>
  <c r="AJ12" i="57" s="1"/>
  <c r="AH21" i="57"/>
  <c r="AG22" i="57"/>
  <c r="AJ22" i="57" s="1"/>
  <c r="AG16" i="57"/>
  <c r="AJ16" i="57" s="1"/>
  <c r="M19" i="57"/>
  <c r="M22" i="57"/>
  <c r="M16" i="57"/>
  <c r="M13" i="57"/>
  <c r="M10" i="56"/>
  <c r="M18" i="56"/>
  <c r="C105" i="56"/>
  <c r="C106" i="56" s="1"/>
  <c r="C83" i="56"/>
  <c r="C131" i="56"/>
  <c r="C132" i="56" s="1"/>
  <c r="M20" i="56"/>
  <c r="M15" i="56"/>
  <c r="M12" i="56"/>
  <c r="M16" i="56"/>
  <c r="M13" i="56"/>
  <c r="M14" i="56"/>
  <c r="M21" i="56"/>
  <c r="M11" i="56"/>
  <c r="M19" i="56"/>
  <c r="M17" i="56"/>
  <c r="U42" i="55"/>
  <c r="T42" i="55"/>
  <c r="C197" i="55"/>
  <c r="C172" i="55"/>
  <c r="C147" i="55"/>
  <c r="C122" i="55"/>
  <c r="C97" i="55"/>
  <c r="C47" i="55"/>
  <c r="U22" i="55"/>
  <c r="T22" i="55"/>
  <c r="E22" i="55"/>
  <c r="F22" i="55"/>
  <c r="C22" i="55"/>
  <c r="J21" i="55"/>
  <c r="H21" i="55"/>
  <c r="J20" i="55"/>
  <c r="H20" i="55"/>
  <c r="J19" i="55"/>
  <c r="H19" i="55"/>
  <c r="J18" i="55"/>
  <c r="H18" i="55"/>
  <c r="J17" i="55"/>
  <c r="H17" i="55"/>
  <c r="J16" i="55"/>
  <c r="H16" i="55"/>
  <c r="J15" i="55"/>
  <c r="H15" i="55"/>
  <c r="J14" i="55"/>
  <c r="H14" i="55"/>
  <c r="J13" i="55"/>
  <c r="H13" i="55"/>
  <c r="J12" i="55"/>
  <c r="H12" i="55"/>
  <c r="J11" i="55"/>
  <c r="H11" i="55"/>
  <c r="J10" i="55"/>
  <c r="H10" i="55"/>
  <c r="V10" i="55" s="1"/>
  <c r="C3" i="55"/>
  <c r="C6" i="55" s="1"/>
  <c r="AH13" i="57" l="1"/>
  <c r="AH14" i="57"/>
  <c r="G6" i="68"/>
  <c r="AB23" i="57"/>
  <c r="AC23" i="57" s="1"/>
  <c r="AH17" i="57"/>
  <c r="AH19" i="57"/>
  <c r="V23" i="57"/>
  <c r="V24" i="57" s="1"/>
  <c r="G8" i="68"/>
  <c r="P18" i="57"/>
  <c r="K12" i="68" s="1"/>
  <c r="P17" i="57"/>
  <c r="AT17" i="57" s="1"/>
  <c r="E42" i="57" s="1"/>
  <c r="F42" i="57" s="1"/>
  <c r="AH18" i="57"/>
  <c r="AH11" i="57"/>
  <c r="G11" i="68"/>
  <c r="AC17" i="57"/>
  <c r="AE14" i="57"/>
  <c r="AT21" i="57"/>
  <c r="E46" i="57" s="1"/>
  <c r="J46" i="57" s="1"/>
  <c r="K8" i="68"/>
  <c r="K6" i="68"/>
  <c r="K15" i="68"/>
  <c r="Q21" i="57"/>
  <c r="BF41" i="57" s="1"/>
  <c r="E34" i="59" s="1"/>
  <c r="K9" i="68"/>
  <c r="S15" i="57"/>
  <c r="G5" i="68"/>
  <c r="AT15" i="57"/>
  <c r="AE11" i="57"/>
  <c r="Q15" i="57"/>
  <c r="BF35" i="57" s="1"/>
  <c r="E28" i="59" s="1"/>
  <c r="S12" i="57"/>
  <c r="AT12" i="57"/>
  <c r="E37" i="57" s="1"/>
  <c r="J37" i="57" s="1"/>
  <c r="P19" i="57"/>
  <c r="G13" i="68"/>
  <c r="P20" i="57"/>
  <c r="G14" i="68"/>
  <c r="P22" i="57"/>
  <c r="G16" i="68"/>
  <c r="S14" i="57"/>
  <c r="Q12" i="57"/>
  <c r="BF32" i="57" s="1"/>
  <c r="E25" i="59" s="1"/>
  <c r="AT14" i="57"/>
  <c r="E39" i="57" s="1"/>
  <c r="J39" i="57" s="1"/>
  <c r="Q14" i="57"/>
  <c r="BF34" i="57" s="1"/>
  <c r="E27" i="59" s="1"/>
  <c r="P13" i="57"/>
  <c r="G7" i="68"/>
  <c r="P16" i="57"/>
  <c r="G10" i="68"/>
  <c r="O10" i="56"/>
  <c r="V31" i="56" s="1"/>
  <c r="AH15" i="57"/>
  <c r="AJ15" i="57"/>
  <c r="AH20" i="57"/>
  <c r="AJ20" i="57"/>
  <c r="AC19" i="57"/>
  <c r="AE19" i="57"/>
  <c r="AC22" i="57"/>
  <c r="AE22" i="57"/>
  <c r="AC13" i="57"/>
  <c r="AE13" i="57"/>
  <c r="AC16" i="57"/>
  <c r="AE16" i="57"/>
  <c r="AC12" i="57"/>
  <c r="AE12" i="57"/>
  <c r="AC15" i="57"/>
  <c r="AE15" i="57"/>
  <c r="AH12" i="57"/>
  <c r="AH22" i="57"/>
  <c r="AH16" i="57"/>
  <c r="AG23" i="57"/>
  <c r="AJ23" i="57" s="1"/>
  <c r="M23" i="57"/>
  <c r="Q10" i="56"/>
  <c r="O17" i="56"/>
  <c r="V38" i="56" s="1"/>
  <c r="O16" i="56"/>
  <c r="V37" i="56" s="1"/>
  <c r="O20" i="56"/>
  <c r="V41" i="56" s="1"/>
  <c r="O12" i="56"/>
  <c r="V33" i="56" s="1"/>
  <c r="O15" i="56"/>
  <c r="V36" i="56" s="1"/>
  <c r="O18" i="56"/>
  <c r="V39" i="56" s="1"/>
  <c r="O11" i="56"/>
  <c r="V32" i="56" s="1"/>
  <c r="O21" i="56"/>
  <c r="V42" i="56" s="1"/>
  <c r="O14" i="56"/>
  <c r="V35" i="56" s="1"/>
  <c r="O19" i="56"/>
  <c r="V40" i="56" s="1"/>
  <c r="O13" i="56"/>
  <c r="V34" i="56" s="1"/>
  <c r="C109" i="56"/>
  <c r="M23" i="56"/>
  <c r="G12" i="55"/>
  <c r="V12" i="55"/>
  <c r="G20" i="55"/>
  <c r="V20" i="55"/>
  <c r="G13" i="55"/>
  <c r="V13" i="55"/>
  <c r="G21" i="55"/>
  <c r="V21" i="55"/>
  <c r="G18" i="55"/>
  <c r="V18" i="55"/>
  <c r="G16" i="55"/>
  <c r="V16" i="55"/>
  <c r="G17" i="55"/>
  <c r="V17" i="55"/>
  <c r="G14" i="55"/>
  <c r="V14" i="55"/>
  <c r="G11" i="55"/>
  <c r="V11" i="55"/>
  <c r="G15" i="55"/>
  <c r="V15" i="55"/>
  <c r="G19" i="55"/>
  <c r="V19" i="55"/>
  <c r="C135" i="56"/>
  <c r="C157" i="56"/>
  <c r="C158" i="56" s="1"/>
  <c r="F36" i="56"/>
  <c r="E36" i="56" s="1"/>
  <c r="Q13" i="56"/>
  <c r="Q19" i="56"/>
  <c r="Q18" i="56"/>
  <c r="Q15" i="56"/>
  <c r="Q12" i="56"/>
  <c r="Q11" i="56"/>
  <c r="Q20" i="56"/>
  <c r="Q17" i="56"/>
  <c r="Q21" i="56"/>
  <c r="Q16" i="56"/>
  <c r="Q14" i="56"/>
  <c r="N10" i="56"/>
  <c r="N11" i="56"/>
  <c r="N21" i="56"/>
  <c r="N20" i="56"/>
  <c r="N16" i="56"/>
  <c r="N17" i="56"/>
  <c r="N12" i="56"/>
  <c r="N19" i="56"/>
  <c r="N14" i="56"/>
  <c r="N15" i="56"/>
  <c r="N13" i="56"/>
  <c r="N18" i="56"/>
  <c r="H23" i="55"/>
  <c r="K21" i="55" s="1"/>
  <c r="G10" i="55"/>
  <c r="C247" i="55"/>
  <c r="C322" i="55"/>
  <c r="C222" i="55"/>
  <c r="C272" i="55"/>
  <c r="C297" i="55"/>
  <c r="H22" i="55"/>
  <c r="J23" i="55"/>
  <c r="J22" i="55"/>
  <c r="AJ25" i="57" l="1"/>
  <c r="AC24" i="57"/>
  <c r="AE25" i="57"/>
  <c r="AE24" i="57"/>
  <c r="AC25" i="57"/>
  <c r="AH24" i="57"/>
  <c r="AH25" i="57"/>
  <c r="AJ24" i="57"/>
  <c r="W11" i="57"/>
  <c r="X11" i="57" s="1"/>
  <c r="W13" i="57"/>
  <c r="X13" i="57" s="1"/>
  <c r="W15" i="57"/>
  <c r="X15" i="57" s="1"/>
  <c r="W18" i="57"/>
  <c r="X18" i="57" s="1"/>
  <c r="W22" i="57"/>
  <c r="X22" i="57" s="1"/>
  <c r="W21" i="57"/>
  <c r="X21" i="57" s="1"/>
  <c r="W17" i="57"/>
  <c r="X17" i="57" s="1"/>
  <c r="W20" i="57"/>
  <c r="X20" i="57" s="1"/>
  <c r="W16" i="57"/>
  <c r="X16" i="57" s="1"/>
  <c r="W19" i="57"/>
  <c r="X19" i="57" s="1"/>
  <c r="W12" i="57"/>
  <c r="X12" i="57" s="1"/>
  <c r="AT18" i="57"/>
  <c r="Q18" i="57"/>
  <c r="BF38" i="57" s="1"/>
  <c r="E31" i="59" s="1"/>
  <c r="S18" i="57"/>
  <c r="Q17" i="57"/>
  <c r="BF37" i="57" s="1"/>
  <c r="E30" i="59" s="1"/>
  <c r="K11" i="68"/>
  <c r="S17" i="57"/>
  <c r="K10" i="68"/>
  <c r="K7" i="68"/>
  <c r="K5" i="68"/>
  <c r="G17" i="68"/>
  <c r="K16" i="68"/>
  <c r="AT20" i="57"/>
  <c r="K13" i="68"/>
  <c r="E40" i="57"/>
  <c r="F40" i="57" s="1"/>
  <c r="Q20" i="57"/>
  <c r="BF40" i="57" s="1"/>
  <c r="E33" i="59" s="1"/>
  <c r="S11" i="57"/>
  <c r="AT11" i="57"/>
  <c r="BF31" i="57"/>
  <c r="E24" i="59" s="1"/>
  <c r="S16" i="57"/>
  <c r="AT16" i="57"/>
  <c r="E41" i="57" s="1"/>
  <c r="J41" i="57" s="1"/>
  <c r="H42" i="57"/>
  <c r="Q19" i="57"/>
  <c r="BF39" i="57" s="1"/>
  <c r="E32" i="59" s="1"/>
  <c r="S19" i="57"/>
  <c r="AT19" i="57"/>
  <c r="E44" i="57" s="1"/>
  <c r="J44" i="57" s="1"/>
  <c r="J42" i="57"/>
  <c r="Q13" i="57"/>
  <c r="BF33" i="57" s="1"/>
  <c r="E26" i="59" s="1"/>
  <c r="S13" i="57"/>
  <c r="F37" i="57"/>
  <c r="P23" i="57"/>
  <c r="Q16" i="57"/>
  <c r="BF36" i="57" s="1"/>
  <c r="E29" i="59" s="1"/>
  <c r="Q22" i="57"/>
  <c r="BF42" i="57" s="1"/>
  <c r="E35" i="59" s="1"/>
  <c r="S20" i="57"/>
  <c r="K14" i="68"/>
  <c r="S22" i="57"/>
  <c r="AT13" i="57"/>
  <c r="AT22" i="57"/>
  <c r="AE23" i="57"/>
  <c r="AH23" i="57"/>
  <c r="F39" i="57"/>
  <c r="F46" i="57"/>
  <c r="F45" i="56"/>
  <c r="K45" i="56" s="1"/>
  <c r="F39" i="56"/>
  <c r="K39" i="56" s="1"/>
  <c r="F43" i="56"/>
  <c r="K43" i="56" s="1"/>
  <c r="F38" i="56"/>
  <c r="K38" i="56" s="1"/>
  <c r="F37" i="56"/>
  <c r="K37" i="56" s="1"/>
  <c r="F41" i="56"/>
  <c r="E41" i="56" s="1"/>
  <c r="F42" i="56"/>
  <c r="K42" i="56" s="1"/>
  <c r="F47" i="56"/>
  <c r="K47" i="56" s="1"/>
  <c r="F46" i="56"/>
  <c r="K46" i="56" s="1"/>
  <c r="F40" i="56"/>
  <c r="K40" i="56" s="1"/>
  <c r="F44" i="56"/>
  <c r="E44" i="56" s="1"/>
  <c r="G22" i="55"/>
  <c r="V22" i="55"/>
  <c r="K20" i="55"/>
  <c r="H36" i="56"/>
  <c r="W11" i="56" s="1"/>
  <c r="K12" i="55"/>
  <c r="M20" i="55"/>
  <c r="N20" i="55" s="1"/>
  <c r="M21" i="55"/>
  <c r="M12" i="55"/>
  <c r="N12" i="55" s="1"/>
  <c r="G23" i="55"/>
  <c r="L10" i="55" s="1"/>
  <c r="K17" i="55"/>
  <c r="M17" i="55" s="1"/>
  <c r="N17" i="55" s="1"/>
  <c r="K13" i="55"/>
  <c r="M13" i="55" s="1"/>
  <c r="N13" i="55" s="1"/>
  <c r="K10" i="55"/>
  <c r="M10" i="55" s="1"/>
  <c r="N10" i="55" s="1"/>
  <c r="K16" i="55"/>
  <c r="M16" i="55" s="1"/>
  <c r="N16" i="55" s="1"/>
  <c r="K15" i="55"/>
  <c r="M15" i="55" s="1"/>
  <c r="N15" i="55" s="1"/>
  <c r="K18" i="55"/>
  <c r="M18" i="55" s="1"/>
  <c r="N18" i="55" s="1"/>
  <c r="K14" i="55"/>
  <c r="M14" i="55" s="1"/>
  <c r="N14" i="55" s="1"/>
  <c r="K11" i="55"/>
  <c r="M11" i="55" s="1"/>
  <c r="N11" i="55" s="1"/>
  <c r="K19" i="55"/>
  <c r="M19" i="55" s="1"/>
  <c r="N19" i="55" s="1"/>
  <c r="C161" i="56"/>
  <c r="C183" i="56"/>
  <c r="C184" i="56" s="1"/>
  <c r="K36" i="56"/>
  <c r="Q23" i="56"/>
  <c r="BB17" i="57" l="1"/>
  <c r="F14" i="59" s="1"/>
  <c r="W14" i="57"/>
  <c r="X14" i="57" s="1"/>
  <c r="X24" i="57" s="1"/>
  <c r="Z11" i="57"/>
  <c r="Z17" i="57"/>
  <c r="Z12" i="57"/>
  <c r="Z22" i="57"/>
  <c r="Z21" i="57"/>
  <c r="Z19" i="57"/>
  <c r="Z18" i="57"/>
  <c r="Z16" i="57"/>
  <c r="Z15" i="57"/>
  <c r="Z20" i="57"/>
  <c r="Z13" i="57"/>
  <c r="E43" i="57"/>
  <c r="F43" i="57" s="1"/>
  <c r="E45" i="57"/>
  <c r="J45" i="57" s="1"/>
  <c r="AD23" i="57"/>
  <c r="H40" i="57"/>
  <c r="J40" i="57"/>
  <c r="E36" i="57"/>
  <c r="J36" i="57" s="1"/>
  <c r="F44" i="57"/>
  <c r="G42" i="57"/>
  <c r="AH42" i="57"/>
  <c r="R14" i="57"/>
  <c r="R21" i="57"/>
  <c r="R15" i="57"/>
  <c r="AI13" i="57"/>
  <c r="F41" i="57"/>
  <c r="AI20" i="57"/>
  <c r="AI15" i="57"/>
  <c r="AD12" i="57"/>
  <c r="S23" i="57"/>
  <c r="R16" i="57"/>
  <c r="AI22" i="57"/>
  <c r="S25" i="57"/>
  <c r="R13" i="57"/>
  <c r="AI14" i="57"/>
  <c r="AD18" i="57"/>
  <c r="R11" i="57"/>
  <c r="AI12" i="57"/>
  <c r="AD22" i="57"/>
  <c r="H37" i="57"/>
  <c r="R20" i="57"/>
  <c r="AI18" i="57"/>
  <c r="AD20" i="57"/>
  <c r="S24" i="57"/>
  <c r="R23" i="57"/>
  <c r="AI19" i="57"/>
  <c r="AD21" i="57"/>
  <c r="AD15" i="57"/>
  <c r="R19" i="57"/>
  <c r="E47" i="57"/>
  <c r="J47" i="57" s="1"/>
  <c r="AI16" i="57"/>
  <c r="AD17" i="57"/>
  <c r="R12" i="57"/>
  <c r="AI21" i="57"/>
  <c r="AD16" i="57"/>
  <c r="Q23" i="57"/>
  <c r="AI23" i="57"/>
  <c r="AD11" i="57"/>
  <c r="AD13" i="57"/>
  <c r="R18" i="57"/>
  <c r="AI11" i="57"/>
  <c r="R17" i="57"/>
  <c r="R22" i="57"/>
  <c r="AI17" i="57"/>
  <c r="AD14" i="57"/>
  <c r="Q24" i="57"/>
  <c r="Q25" i="57"/>
  <c r="AT23" i="57"/>
  <c r="C27" i="57" s="1"/>
  <c r="C28" i="57" s="1"/>
  <c r="C31" i="57" s="1"/>
  <c r="E38" i="57"/>
  <c r="F38" i="57" s="1"/>
  <c r="AD19" i="57"/>
  <c r="K17" i="68"/>
  <c r="H39" i="57"/>
  <c r="N21" i="55"/>
  <c r="H44" i="56"/>
  <c r="W19" i="56" s="1"/>
  <c r="E45" i="56"/>
  <c r="E37" i="56"/>
  <c r="H41" i="56"/>
  <c r="W16" i="56" s="1"/>
  <c r="H46" i="57"/>
  <c r="E39" i="56"/>
  <c r="E46" i="56"/>
  <c r="K41" i="56"/>
  <c r="K44" i="56"/>
  <c r="E47" i="56"/>
  <c r="E40" i="56"/>
  <c r="E42" i="56"/>
  <c r="F49" i="56"/>
  <c r="E43" i="56"/>
  <c r="E38" i="56"/>
  <c r="O20" i="55"/>
  <c r="V40" i="55" s="1"/>
  <c r="Q19" i="55"/>
  <c r="Q10" i="55"/>
  <c r="Q11" i="55"/>
  <c r="I36" i="56"/>
  <c r="G36" i="56"/>
  <c r="Q18" i="55"/>
  <c r="O18" i="55"/>
  <c r="V38" i="55" s="1"/>
  <c r="O15" i="55"/>
  <c r="V35" i="55" s="1"/>
  <c r="Q15" i="55"/>
  <c r="L12" i="55"/>
  <c r="L14" i="55"/>
  <c r="L11" i="55"/>
  <c r="L18" i="55"/>
  <c r="L15" i="55"/>
  <c r="L21" i="55"/>
  <c r="L19" i="55"/>
  <c r="L16" i="55"/>
  <c r="L17" i="55"/>
  <c r="L13" i="55"/>
  <c r="L20" i="55"/>
  <c r="M22" i="55"/>
  <c r="C187" i="56"/>
  <c r="C209" i="56"/>
  <c r="C210" i="56" s="1"/>
  <c r="Q20" i="55"/>
  <c r="O11" i="55"/>
  <c r="V31" i="55" s="1"/>
  <c r="O19" i="55"/>
  <c r="V39" i="55" s="1"/>
  <c r="Q16" i="55"/>
  <c r="O16" i="55"/>
  <c r="V36" i="55" s="1"/>
  <c r="Q14" i="55"/>
  <c r="O14" i="55"/>
  <c r="V34" i="55" s="1"/>
  <c r="Q13" i="55"/>
  <c r="O13" i="55"/>
  <c r="V33" i="55" s="1"/>
  <c r="Q12" i="55"/>
  <c r="O12" i="55"/>
  <c r="V32" i="55" s="1"/>
  <c r="Q17" i="55"/>
  <c r="O17" i="55"/>
  <c r="V37" i="55" s="1"/>
  <c r="BB12" i="57" l="1"/>
  <c r="F9" i="59" s="1"/>
  <c r="BB15" i="57"/>
  <c r="F12" i="59" s="1"/>
  <c r="Z14" i="57"/>
  <c r="Z24" i="57" s="1"/>
  <c r="W23" i="57"/>
  <c r="Y12" i="57" s="1"/>
  <c r="AI25" i="57"/>
  <c r="AI24" i="57"/>
  <c r="X25" i="57"/>
  <c r="AD25" i="57"/>
  <c r="AD24" i="57"/>
  <c r="H43" i="57"/>
  <c r="J43" i="57"/>
  <c r="F45" i="57"/>
  <c r="H45" i="57" s="1"/>
  <c r="G40" i="57"/>
  <c r="AH40" i="57"/>
  <c r="F36" i="57"/>
  <c r="H36" i="57" s="1"/>
  <c r="H44" i="57"/>
  <c r="H38" i="57"/>
  <c r="H41" i="57"/>
  <c r="G37" i="57"/>
  <c r="R25" i="57"/>
  <c r="AH37" i="57"/>
  <c r="R24" i="57"/>
  <c r="F47" i="57"/>
  <c r="E48" i="57"/>
  <c r="J38" i="57"/>
  <c r="O21" i="55"/>
  <c r="V41" i="55" s="1"/>
  <c r="BB21" i="57"/>
  <c r="F18" i="59" s="1"/>
  <c r="AH46" i="57"/>
  <c r="G39" i="57"/>
  <c r="AH39" i="57"/>
  <c r="BB14" i="57"/>
  <c r="F11" i="59" s="1"/>
  <c r="G44" i="56"/>
  <c r="I44" i="56"/>
  <c r="Q21" i="55"/>
  <c r="E36" i="55"/>
  <c r="E43" i="55"/>
  <c r="J43" i="55" s="1"/>
  <c r="E35" i="55"/>
  <c r="F35" i="55" s="1"/>
  <c r="E44" i="55"/>
  <c r="J44" i="55" s="1"/>
  <c r="E40" i="55"/>
  <c r="J40" i="55" s="1"/>
  <c r="E45" i="55"/>
  <c r="J45" i="55" s="1"/>
  <c r="H43" i="56"/>
  <c r="W18" i="56" s="1"/>
  <c r="H39" i="56"/>
  <c r="W14" i="56" s="1"/>
  <c r="H42" i="56"/>
  <c r="W17" i="56" s="1"/>
  <c r="H40" i="56"/>
  <c r="W15" i="56" s="1"/>
  <c r="H45" i="56"/>
  <c r="I41" i="56"/>
  <c r="H47" i="56"/>
  <c r="W22" i="56" s="1"/>
  <c r="H37" i="56"/>
  <c r="G41" i="56"/>
  <c r="H38" i="56"/>
  <c r="W13" i="56" s="1"/>
  <c r="H46" i="56"/>
  <c r="W21" i="56" s="1"/>
  <c r="G46" i="57"/>
  <c r="K49" i="56"/>
  <c r="E49" i="56"/>
  <c r="J36" i="55"/>
  <c r="F36" i="55"/>
  <c r="C213" i="56"/>
  <c r="C235" i="56"/>
  <c r="C236" i="56" s="1"/>
  <c r="O10" i="55"/>
  <c r="V30" i="55" s="1"/>
  <c r="N22" i="55"/>
  <c r="E42" i="55"/>
  <c r="E39" i="55"/>
  <c r="E37" i="55"/>
  <c r="E38" i="55"/>
  <c r="E41" i="55"/>
  <c r="AH45" i="57" l="1"/>
  <c r="AH41" i="57"/>
  <c r="Z25" i="57"/>
  <c r="AH38" i="57"/>
  <c r="BB18" i="57"/>
  <c r="F15" i="59" s="1"/>
  <c r="G44" i="57"/>
  <c r="Z23" i="57"/>
  <c r="AH36" i="57"/>
  <c r="Y13" i="57"/>
  <c r="Y18" i="57"/>
  <c r="Y19" i="57"/>
  <c r="Y11" i="57"/>
  <c r="X23" i="57"/>
  <c r="Y22" i="57"/>
  <c r="Y16" i="57"/>
  <c r="Y14" i="57"/>
  <c r="Y17" i="57"/>
  <c r="Y15" i="57"/>
  <c r="Y21" i="57"/>
  <c r="Y20" i="57"/>
  <c r="G43" i="57"/>
  <c r="AH43" i="57"/>
  <c r="J49" i="57"/>
  <c r="BB13" i="57"/>
  <c r="F10" i="59" s="1"/>
  <c r="G38" i="57"/>
  <c r="AH44" i="57"/>
  <c r="BB19" i="57"/>
  <c r="F16" i="59" s="1"/>
  <c r="G41" i="57"/>
  <c r="BB16" i="57"/>
  <c r="F13" i="59" s="1"/>
  <c r="F48" i="57"/>
  <c r="S36" i="57" s="1"/>
  <c r="H47" i="57"/>
  <c r="J48" i="57"/>
  <c r="G36" i="57"/>
  <c r="BB11" i="57"/>
  <c r="F8" i="59" s="1"/>
  <c r="I47" i="56"/>
  <c r="G40" i="56"/>
  <c r="F40" i="55"/>
  <c r="E46" i="55"/>
  <c r="BB20" i="57"/>
  <c r="F17" i="59" s="1"/>
  <c r="G45" i="57"/>
  <c r="G47" i="56"/>
  <c r="F45" i="55"/>
  <c r="H45" i="55" s="1"/>
  <c r="G45" i="55" s="1"/>
  <c r="I46" i="56"/>
  <c r="I38" i="56"/>
  <c r="J35" i="55"/>
  <c r="I39" i="56"/>
  <c r="I43" i="56"/>
  <c r="G43" i="56"/>
  <c r="G38" i="56"/>
  <c r="F43" i="55"/>
  <c r="H43" i="55" s="1"/>
  <c r="W18" i="55" s="1"/>
  <c r="O22" i="55"/>
  <c r="H40" i="55"/>
  <c r="G40" i="55" s="1"/>
  <c r="F44" i="55"/>
  <c r="W12" i="56"/>
  <c r="G37" i="56"/>
  <c r="I37" i="56"/>
  <c r="I42" i="56"/>
  <c r="H50" i="56"/>
  <c r="H49" i="56"/>
  <c r="G49" i="56" s="1"/>
  <c r="I40" i="56"/>
  <c r="L44" i="56" s="1"/>
  <c r="G39" i="56"/>
  <c r="G42" i="56"/>
  <c r="G46" i="56"/>
  <c r="W20" i="56"/>
  <c r="G45" i="56"/>
  <c r="I45" i="56"/>
  <c r="J37" i="55"/>
  <c r="F37" i="55"/>
  <c r="J39" i="55"/>
  <c r="F39" i="55"/>
  <c r="J42" i="55"/>
  <c r="F42" i="55"/>
  <c r="J41" i="55"/>
  <c r="F41" i="55"/>
  <c r="H36" i="55"/>
  <c r="J38" i="55"/>
  <c r="F38" i="55"/>
  <c r="J46" i="55"/>
  <c r="F46" i="55"/>
  <c r="C239" i="56"/>
  <c r="C261" i="56"/>
  <c r="C262" i="56" s="1"/>
  <c r="Q22" i="55"/>
  <c r="H49" i="57" l="1"/>
  <c r="O36" i="57" s="1"/>
  <c r="Y24" i="57"/>
  <c r="Y25" i="57"/>
  <c r="Y23" i="57"/>
  <c r="U36" i="57"/>
  <c r="S39" i="57"/>
  <c r="U39" i="57" s="1"/>
  <c r="H48" i="57"/>
  <c r="AH47" i="57"/>
  <c r="S37" i="57"/>
  <c r="U37" i="57" s="1"/>
  <c r="G47" i="57"/>
  <c r="G49" i="57" s="1"/>
  <c r="P36" i="57" s="1"/>
  <c r="S44" i="57"/>
  <c r="U44" i="57" s="1"/>
  <c r="S42" i="57"/>
  <c r="U42" i="57" s="1"/>
  <c r="S40" i="57"/>
  <c r="U40" i="57" s="1"/>
  <c r="S38" i="57"/>
  <c r="U38" i="57" s="1"/>
  <c r="S47" i="57"/>
  <c r="U47" i="57" s="1"/>
  <c r="S41" i="57"/>
  <c r="U41" i="57" s="1"/>
  <c r="S45" i="57"/>
  <c r="U45" i="57" s="1"/>
  <c r="S43" i="57"/>
  <c r="U43" i="57" s="1"/>
  <c r="BB22" i="57"/>
  <c r="F19" i="59" s="1"/>
  <c r="S46" i="57"/>
  <c r="U46" i="57" s="1"/>
  <c r="O46" i="57"/>
  <c r="L45" i="56"/>
  <c r="L38" i="56"/>
  <c r="L46" i="56"/>
  <c r="L40" i="56"/>
  <c r="L41" i="56"/>
  <c r="H29" i="56"/>
  <c r="L47" i="56"/>
  <c r="H30" i="56"/>
  <c r="L36" i="56"/>
  <c r="H28" i="56"/>
  <c r="L43" i="56"/>
  <c r="G50" i="56"/>
  <c r="L39" i="56"/>
  <c r="L42" i="56"/>
  <c r="W23" i="56"/>
  <c r="L37" i="56"/>
  <c r="W20" i="55"/>
  <c r="W15" i="55"/>
  <c r="H46" i="55"/>
  <c r="G46" i="55" s="1"/>
  <c r="G43" i="55"/>
  <c r="H41" i="55"/>
  <c r="G41" i="55" s="1"/>
  <c r="H42" i="55"/>
  <c r="G42" i="55" s="1"/>
  <c r="H39" i="55"/>
  <c r="W14" i="55" s="1"/>
  <c r="H38" i="55"/>
  <c r="G38" i="55" s="1"/>
  <c r="H37" i="55"/>
  <c r="G37" i="55" s="1"/>
  <c r="H44" i="55"/>
  <c r="G36" i="55"/>
  <c r="W11" i="55"/>
  <c r="F47" i="55"/>
  <c r="C265" i="56"/>
  <c r="C287" i="56"/>
  <c r="C288" i="56" s="1"/>
  <c r="H35" i="55"/>
  <c r="E47" i="55"/>
  <c r="C26" i="55"/>
  <c r="C27" i="55" s="1"/>
  <c r="C30" i="55" s="1"/>
  <c r="J48" i="55" s="1"/>
  <c r="O41" i="57" l="1"/>
  <c r="O40" i="57"/>
  <c r="O42" i="57"/>
  <c r="O43" i="57"/>
  <c r="O45" i="57"/>
  <c r="O38" i="57"/>
  <c r="O44" i="57"/>
  <c r="O39" i="57"/>
  <c r="Q39" i="57" s="1"/>
  <c r="AB39" i="57" s="1"/>
  <c r="O37" i="57"/>
  <c r="Q36" i="57"/>
  <c r="AB36" i="57" s="1"/>
  <c r="AZ36" i="57" s="1"/>
  <c r="E61" i="57" s="1"/>
  <c r="J61" i="57" s="1"/>
  <c r="O47" i="57"/>
  <c r="G48" i="57"/>
  <c r="AH48" i="57"/>
  <c r="BB23" i="57"/>
  <c r="F20" i="59" s="1"/>
  <c r="P39" i="57"/>
  <c r="P45" i="57"/>
  <c r="Q45" i="57" s="1"/>
  <c r="AB45" i="57" s="1"/>
  <c r="P37" i="57"/>
  <c r="P41" i="57"/>
  <c r="Q41" i="57" s="1"/>
  <c r="AB41" i="57" s="1"/>
  <c r="AZ41" i="57" s="1"/>
  <c r="E66" i="57" s="1"/>
  <c r="J66" i="57" s="1"/>
  <c r="U48" i="57"/>
  <c r="P38" i="57"/>
  <c r="P42" i="57"/>
  <c r="Q42" i="57" s="1"/>
  <c r="AB42" i="57" s="1"/>
  <c r="AZ42" i="57" s="1"/>
  <c r="E67" i="57" s="1"/>
  <c r="P44" i="57"/>
  <c r="P40" i="57"/>
  <c r="Q40" i="57" s="1"/>
  <c r="AB40" i="57" s="1"/>
  <c r="AZ40" i="57" s="1"/>
  <c r="P46" i="57"/>
  <c r="Q46" i="57" s="1"/>
  <c r="AB46" i="57" s="1"/>
  <c r="AZ46" i="57" s="1"/>
  <c r="P47" i="57"/>
  <c r="P43" i="57"/>
  <c r="W13" i="55"/>
  <c r="I29" i="56"/>
  <c r="J29" i="56" s="1"/>
  <c r="M47" i="56" s="1"/>
  <c r="Q47" i="56" s="1"/>
  <c r="I28" i="56"/>
  <c r="J28" i="56" s="1"/>
  <c r="M46" i="56" s="1"/>
  <c r="O46" i="56" s="1"/>
  <c r="W41" i="56" s="1"/>
  <c r="I30" i="56"/>
  <c r="J30" i="56" s="1"/>
  <c r="M40" i="56" s="1"/>
  <c r="O40" i="56" s="1"/>
  <c r="W35" i="56" s="1"/>
  <c r="G39" i="55"/>
  <c r="W21" i="55"/>
  <c r="W12" i="55"/>
  <c r="G44" i="55"/>
  <c r="W19" i="55"/>
  <c r="H47" i="55"/>
  <c r="W22" i="55" s="1"/>
  <c r="W17" i="55"/>
  <c r="W16" i="55"/>
  <c r="Q46" i="56"/>
  <c r="G35" i="55"/>
  <c r="W10" i="55"/>
  <c r="C291" i="56"/>
  <c r="C313" i="56"/>
  <c r="C314" i="56" s="1"/>
  <c r="H48" i="55"/>
  <c r="K35" i="55" s="1"/>
  <c r="M35" i="55" s="1"/>
  <c r="J47" i="55"/>
  <c r="Q43" i="57" l="1"/>
  <c r="AB43" i="57" s="1"/>
  <c r="AZ43" i="57" s="1"/>
  <c r="E68" i="57" s="1"/>
  <c r="Q47" i="57"/>
  <c r="AB47" i="57" s="1"/>
  <c r="AZ47" i="57" s="1"/>
  <c r="E72" i="57" s="1"/>
  <c r="F72" i="57" s="1"/>
  <c r="Q44" i="57"/>
  <c r="AB44" i="57" s="1"/>
  <c r="AZ44" i="57" s="1"/>
  <c r="Q37" i="57"/>
  <c r="AB37" i="57" s="1"/>
  <c r="AZ37" i="57" s="1"/>
  <c r="E62" i="57" s="1"/>
  <c r="J62" i="57" s="1"/>
  <c r="Q38" i="57"/>
  <c r="AB38" i="57" s="1"/>
  <c r="AZ38" i="57" s="1"/>
  <c r="AD36" i="57"/>
  <c r="BG31" i="57" s="1"/>
  <c r="F24" i="59" s="1"/>
  <c r="AD37" i="57"/>
  <c r="BG32" i="57" s="1"/>
  <c r="F25" i="59" s="1"/>
  <c r="AD39" i="57"/>
  <c r="BG34" i="57" s="1"/>
  <c r="F27" i="59" s="1"/>
  <c r="AD40" i="57"/>
  <c r="BG35" i="57" s="1"/>
  <c r="F28" i="59" s="1"/>
  <c r="AZ39" i="57"/>
  <c r="E64" i="57" s="1"/>
  <c r="F64" i="57" s="1"/>
  <c r="AD43" i="57"/>
  <c r="BG38" i="57" s="1"/>
  <c r="F31" i="59" s="1"/>
  <c r="AD46" i="57"/>
  <c r="BG41" i="57" s="1"/>
  <c r="F34" i="59" s="1"/>
  <c r="AD44" i="57"/>
  <c r="BG39" i="57" s="1"/>
  <c r="F32" i="59" s="1"/>
  <c r="Q48" i="57"/>
  <c r="AD41" i="57"/>
  <c r="BG36" i="57" s="1"/>
  <c r="F29" i="59" s="1"/>
  <c r="AZ45" i="57"/>
  <c r="AD45" i="57"/>
  <c r="BG40" i="57" s="1"/>
  <c r="F33" i="59" s="1"/>
  <c r="M39" i="56"/>
  <c r="O39" i="56" s="1"/>
  <c r="W34" i="56" s="1"/>
  <c r="M38" i="56"/>
  <c r="Q40" i="56"/>
  <c r="M42" i="56"/>
  <c r="AB48" i="57"/>
  <c r="AD48" i="57" s="1"/>
  <c r="AD42" i="57"/>
  <c r="BG37" i="57" s="1"/>
  <c r="F30" i="59" s="1"/>
  <c r="F61" i="57"/>
  <c r="E71" i="57"/>
  <c r="F71" i="57" s="1"/>
  <c r="F66" i="57"/>
  <c r="E69" i="57"/>
  <c r="E65" i="57"/>
  <c r="M45" i="56"/>
  <c r="Q45" i="56" s="1"/>
  <c r="O47" i="56"/>
  <c r="W42" i="56" s="1"/>
  <c r="M44" i="56"/>
  <c r="O44" i="56" s="1"/>
  <c r="W39" i="56" s="1"/>
  <c r="M37" i="56"/>
  <c r="M43" i="56"/>
  <c r="M36" i="56"/>
  <c r="Q36" i="56" s="1"/>
  <c r="M41" i="56"/>
  <c r="O41" i="56" s="1"/>
  <c r="W36" i="56" s="1"/>
  <c r="G48" i="55"/>
  <c r="L35" i="55" s="1"/>
  <c r="F73" i="56"/>
  <c r="E73" i="56" s="1"/>
  <c r="H73" i="56" s="1"/>
  <c r="X22" i="56" s="1"/>
  <c r="G47" i="55"/>
  <c r="Q42" i="56"/>
  <c r="O37" i="56"/>
  <c r="W32" i="56" s="1"/>
  <c r="Q39" i="56"/>
  <c r="Q43" i="56"/>
  <c r="F66" i="56"/>
  <c r="E66" i="56" s="1"/>
  <c r="Q38" i="56"/>
  <c r="F68" i="57"/>
  <c r="J68" i="57"/>
  <c r="J67" i="57"/>
  <c r="F67" i="57"/>
  <c r="O38" i="56"/>
  <c r="W33" i="56" s="1"/>
  <c r="F65" i="56"/>
  <c r="K65" i="56" s="1"/>
  <c r="F72" i="56"/>
  <c r="Q37" i="56"/>
  <c r="O45" i="56"/>
  <c r="W40" i="56" s="1"/>
  <c r="O42" i="56"/>
  <c r="W37" i="56" s="1"/>
  <c r="K66" i="56"/>
  <c r="O43" i="56"/>
  <c r="W38" i="56" s="1"/>
  <c r="C317" i="56"/>
  <c r="C339" i="56"/>
  <c r="C340" i="56" s="1"/>
  <c r="L40" i="55"/>
  <c r="L43" i="55"/>
  <c r="L37" i="55"/>
  <c r="L39" i="55"/>
  <c r="N35" i="55"/>
  <c r="K40" i="55"/>
  <c r="K44" i="55"/>
  <c r="K45" i="55"/>
  <c r="K36" i="55"/>
  <c r="K43" i="55"/>
  <c r="K41" i="55"/>
  <c r="K39" i="55"/>
  <c r="K38" i="55"/>
  <c r="K37" i="55"/>
  <c r="K46" i="55"/>
  <c r="K42" i="55"/>
  <c r="AD47" i="57" l="1"/>
  <c r="BG42" i="57" s="1"/>
  <c r="F35" i="59" s="1"/>
  <c r="AD38" i="57"/>
  <c r="BG33" i="57" s="1"/>
  <c r="F26" i="59" s="1"/>
  <c r="J64" i="57"/>
  <c r="H64" i="57"/>
  <c r="G64" i="57" s="1"/>
  <c r="H72" i="57"/>
  <c r="BC22" i="57" s="1"/>
  <c r="G19" i="59" s="1"/>
  <c r="J72" i="57"/>
  <c r="E63" i="57"/>
  <c r="J63" i="57" s="1"/>
  <c r="J71" i="57"/>
  <c r="AZ48" i="57"/>
  <c r="C52" i="57" s="1"/>
  <c r="C53" i="57" s="1"/>
  <c r="C56" i="57" s="1"/>
  <c r="E70" i="57"/>
  <c r="J70" i="57" s="1"/>
  <c r="Q44" i="56"/>
  <c r="K73" i="56"/>
  <c r="N43" i="56"/>
  <c r="F68" i="56"/>
  <c r="K68" i="56" s="1"/>
  <c r="L42" i="55"/>
  <c r="L38" i="55"/>
  <c r="L41" i="55"/>
  <c r="L36" i="55"/>
  <c r="L44" i="55"/>
  <c r="L46" i="55"/>
  <c r="L45" i="55"/>
  <c r="H71" i="57"/>
  <c r="G71" i="57" s="1"/>
  <c r="H61" i="57"/>
  <c r="AH61" i="57" s="1"/>
  <c r="F62" i="57"/>
  <c r="H66" i="57"/>
  <c r="AH66" i="57" s="1"/>
  <c r="F69" i="57"/>
  <c r="J69" i="57"/>
  <c r="J65" i="57"/>
  <c r="F65" i="57"/>
  <c r="N47" i="56"/>
  <c r="Q41" i="56"/>
  <c r="N38" i="56"/>
  <c r="N37" i="56"/>
  <c r="O36" i="56"/>
  <c r="W31" i="56" s="1"/>
  <c r="N44" i="56"/>
  <c r="N40" i="56"/>
  <c r="N46" i="56"/>
  <c r="N36" i="56"/>
  <c r="N41" i="56"/>
  <c r="M49" i="56"/>
  <c r="N42" i="56"/>
  <c r="N45" i="56"/>
  <c r="N39" i="56"/>
  <c r="F64" i="56"/>
  <c r="K64" i="56" s="1"/>
  <c r="I73" i="56"/>
  <c r="G73" i="56"/>
  <c r="F62" i="56"/>
  <c r="E62" i="56" s="1"/>
  <c r="H66" i="56"/>
  <c r="F71" i="56"/>
  <c r="E71" i="56" s="1"/>
  <c r="F69" i="56"/>
  <c r="K69" i="56" s="1"/>
  <c r="H67" i="57"/>
  <c r="AH67" i="57" s="1"/>
  <c r="H68" i="57"/>
  <c r="AH68" i="57" s="1"/>
  <c r="E65" i="56"/>
  <c r="F70" i="56"/>
  <c r="K70" i="56" s="1"/>
  <c r="E72" i="56"/>
  <c r="K72" i="56"/>
  <c r="Q49" i="56"/>
  <c r="F63" i="56"/>
  <c r="K63" i="56" s="1"/>
  <c r="C343" i="56"/>
  <c r="C365" i="56"/>
  <c r="O35" i="55"/>
  <c r="W30" i="55" s="1"/>
  <c r="Q35" i="55"/>
  <c r="M46" i="55"/>
  <c r="N46" i="55" s="1"/>
  <c r="M44" i="55"/>
  <c r="N44" i="55" s="1"/>
  <c r="M40" i="55"/>
  <c r="N40" i="55" s="1"/>
  <c r="M38" i="55"/>
  <c r="N38" i="55" s="1"/>
  <c r="M39" i="55"/>
  <c r="N39" i="55" s="1"/>
  <c r="M41" i="55"/>
  <c r="N41" i="55" s="1"/>
  <c r="M43" i="55"/>
  <c r="N43" i="55" s="1"/>
  <c r="M36" i="55"/>
  <c r="N36" i="55" s="1"/>
  <c r="M37" i="55"/>
  <c r="N37" i="55" s="1"/>
  <c r="M42" i="55"/>
  <c r="N42" i="55" s="1"/>
  <c r="M45" i="55"/>
  <c r="N45" i="55" s="1"/>
  <c r="G72" i="57" l="1"/>
  <c r="AH72" i="57"/>
  <c r="BC14" i="57"/>
  <c r="G11" i="59" s="1"/>
  <c r="AH64" i="57"/>
  <c r="F63" i="57"/>
  <c r="E73" i="57"/>
  <c r="BC11" i="57"/>
  <c r="G8" i="59" s="1"/>
  <c r="F70" i="57"/>
  <c r="G61" i="57"/>
  <c r="AH71" i="57"/>
  <c r="BC21" i="57"/>
  <c r="G18" i="59" s="1"/>
  <c r="K62" i="56"/>
  <c r="F67" i="56"/>
  <c r="E67" i="56" s="1"/>
  <c r="E68" i="56"/>
  <c r="E64" i="56"/>
  <c r="H62" i="57"/>
  <c r="AH62" i="57" s="1"/>
  <c r="BC16" i="57"/>
  <c r="G13" i="59" s="1"/>
  <c r="G66" i="57"/>
  <c r="J74" i="57"/>
  <c r="H69" i="57"/>
  <c r="AH69" i="57" s="1"/>
  <c r="H65" i="57"/>
  <c r="AH65" i="57" s="1"/>
  <c r="J73" i="57"/>
  <c r="K71" i="56"/>
  <c r="E60" i="55"/>
  <c r="F60" i="55" s="1"/>
  <c r="H71" i="56"/>
  <c r="X20" i="56" s="1"/>
  <c r="E69" i="56"/>
  <c r="H72" i="56"/>
  <c r="X21" i="56" s="1"/>
  <c r="H67" i="56"/>
  <c r="X16" i="56" s="1"/>
  <c r="X15" i="56"/>
  <c r="G66" i="56"/>
  <c r="I66" i="56"/>
  <c r="H65" i="56"/>
  <c r="X14" i="56" s="1"/>
  <c r="H64" i="56"/>
  <c r="G64" i="56" s="1"/>
  <c r="H62" i="56"/>
  <c r="I62" i="56" s="1"/>
  <c r="G68" i="57"/>
  <c r="BC18" i="57"/>
  <c r="G15" i="59" s="1"/>
  <c r="G67" i="57"/>
  <c r="BC17" i="57"/>
  <c r="G14" i="59" s="1"/>
  <c r="E70" i="56"/>
  <c r="K67" i="56"/>
  <c r="K75" i="56" s="1"/>
  <c r="F75" i="56"/>
  <c r="E63" i="56"/>
  <c r="Q38" i="55"/>
  <c r="O36" i="55"/>
  <c r="W31" i="55" s="1"/>
  <c r="O39" i="55"/>
  <c r="W34" i="55" s="1"/>
  <c r="Q37" i="55"/>
  <c r="O37" i="55"/>
  <c r="W32" i="55" s="1"/>
  <c r="Q39" i="55"/>
  <c r="O40" i="55"/>
  <c r="W35" i="55" s="1"/>
  <c r="Q40" i="55"/>
  <c r="Q45" i="55"/>
  <c r="O45" i="55"/>
  <c r="W40" i="55" s="1"/>
  <c r="O44" i="55"/>
  <c r="W39" i="55" s="1"/>
  <c r="Q44" i="55"/>
  <c r="O41" i="55"/>
  <c r="W36" i="55" s="1"/>
  <c r="Q41" i="55"/>
  <c r="O42" i="55"/>
  <c r="W37" i="55" s="1"/>
  <c r="Q42" i="55"/>
  <c r="Q43" i="55"/>
  <c r="O43" i="55"/>
  <c r="W38" i="55" s="1"/>
  <c r="Q46" i="55"/>
  <c r="O46" i="55"/>
  <c r="W41" i="55" s="1"/>
  <c r="M47" i="55"/>
  <c r="N47" i="55"/>
  <c r="O38" i="55"/>
  <c r="W33" i="55" s="1"/>
  <c r="Q36" i="55"/>
  <c r="H63" i="57" l="1"/>
  <c r="G63" i="57" s="1"/>
  <c r="H70" i="57"/>
  <c r="G70" i="57" s="1"/>
  <c r="F73" i="57"/>
  <c r="BC12" i="57"/>
  <c r="G9" i="59" s="1"/>
  <c r="G62" i="57"/>
  <c r="H68" i="56"/>
  <c r="G68" i="56" s="1"/>
  <c r="G62" i="56"/>
  <c r="G65" i="57"/>
  <c r="BC15" i="57"/>
  <c r="G12" i="59" s="1"/>
  <c r="G69" i="57"/>
  <c r="BC19" i="57"/>
  <c r="G16" i="59" s="1"/>
  <c r="G72" i="56"/>
  <c r="I72" i="56"/>
  <c r="I71" i="56"/>
  <c r="G71" i="56"/>
  <c r="X11" i="56"/>
  <c r="G65" i="56"/>
  <c r="E63" i="55"/>
  <c r="F63" i="55" s="1"/>
  <c r="E67" i="55"/>
  <c r="F67" i="55" s="1"/>
  <c r="O47" i="55"/>
  <c r="E62" i="55"/>
  <c r="J62" i="55" s="1"/>
  <c r="E64" i="55"/>
  <c r="F64" i="55" s="1"/>
  <c r="H63" i="56"/>
  <c r="X12" i="56" s="1"/>
  <c r="G67" i="56"/>
  <c r="X13" i="56"/>
  <c r="I64" i="56"/>
  <c r="I67" i="56"/>
  <c r="H69" i="56"/>
  <c r="I68" i="56"/>
  <c r="H70" i="56"/>
  <c r="X19" i="56" s="1"/>
  <c r="X17" i="56"/>
  <c r="I65" i="56"/>
  <c r="E75" i="56"/>
  <c r="E71" i="55"/>
  <c r="E68" i="55"/>
  <c r="E70" i="55"/>
  <c r="E61" i="55"/>
  <c r="F61" i="55" s="1"/>
  <c r="E65" i="55"/>
  <c r="E66" i="55"/>
  <c r="E69" i="55"/>
  <c r="Q47" i="55"/>
  <c r="H60" i="55"/>
  <c r="J60" i="55"/>
  <c r="S63" i="57" l="1"/>
  <c r="U63" i="57" s="1"/>
  <c r="BC13" i="57"/>
  <c r="G10" i="59" s="1"/>
  <c r="AH63" i="57"/>
  <c r="AH70" i="57"/>
  <c r="S72" i="57"/>
  <c r="U72" i="57" s="1"/>
  <c r="BC20" i="57"/>
  <c r="G17" i="59" s="1"/>
  <c r="H74" i="57"/>
  <c r="O61" i="57" s="1"/>
  <c r="S69" i="57"/>
  <c r="U69" i="57" s="1"/>
  <c r="S61" i="57"/>
  <c r="U61" i="57" s="1"/>
  <c r="H73" i="57"/>
  <c r="G73" i="57" s="1"/>
  <c r="S64" i="57"/>
  <c r="U64" i="57" s="1"/>
  <c r="S70" i="57"/>
  <c r="U70" i="57" s="1"/>
  <c r="S65" i="57"/>
  <c r="U65" i="57" s="1"/>
  <c r="S68" i="57"/>
  <c r="U68" i="57" s="1"/>
  <c r="S62" i="57"/>
  <c r="U62" i="57" s="1"/>
  <c r="S66" i="57"/>
  <c r="U66" i="57" s="1"/>
  <c r="S67" i="57"/>
  <c r="U67" i="57" s="1"/>
  <c r="S71" i="57"/>
  <c r="U71" i="57" s="1"/>
  <c r="I70" i="56"/>
  <c r="G74" i="57"/>
  <c r="P61" i="57" s="1"/>
  <c r="J67" i="55"/>
  <c r="J64" i="55"/>
  <c r="H63" i="55"/>
  <c r="G63" i="55" s="1"/>
  <c r="J63" i="55"/>
  <c r="G70" i="56"/>
  <c r="G63" i="56"/>
  <c r="I63" i="56"/>
  <c r="L68" i="56" s="1"/>
  <c r="H64" i="55"/>
  <c r="X14" i="55" s="1"/>
  <c r="C51" i="55"/>
  <c r="C52" i="55" s="1"/>
  <c r="C55" i="55" s="1"/>
  <c r="F62" i="55"/>
  <c r="H67" i="55"/>
  <c r="G67" i="55" s="1"/>
  <c r="X18" i="56"/>
  <c r="G69" i="56"/>
  <c r="I69" i="56"/>
  <c r="L63" i="56" s="1"/>
  <c r="H75" i="56"/>
  <c r="X23" i="56" s="1"/>
  <c r="H76" i="56"/>
  <c r="G60" i="55"/>
  <c r="X10" i="55"/>
  <c r="J68" i="55"/>
  <c r="F68" i="55"/>
  <c r="J66" i="55"/>
  <c r="F66" i="55"/>
  <c r="J70" i="55"/>
  <c r="F70" i="55"/>
  <c r="J71" i="55"/>
  <c r="F71" i="55"/>
  <c r="J69" i="55"/>
  <c r="F69" i="55"/>
  <c r="H61" i="55"/>
  <c r="J65" i="55"/>
  <c r="F65" i="55"/>
  <c r="E72" i="55"/>
  <c r="J61" i="55"/>
  <c r="Q61" i="57" l="1"/>
  <c r="AB61" i="57" s="1"/>
  <c r="AZ61" i="57" s="1"/>
  <c r="E86" i="57" s="1"/>
  <c r="F86" i="57" s="1"/>
  <c r="O65" i="57"/>
  <c r="O70" i="57"/>
  <c r="O66" i="57"/>
  <c r="O67" i="57"/>
  <c r="O64" i="57"/>
  <c r="BC23" i="57"/>
  <c r="G20" i="59" s="1"/>
  <c r="O71" i="57"/>
  <c r="AH73" i="57"/>
  <c r="O72" i="57"/>
  <c r="O62" i="57"/>
  <c r="O63" i="57"/>
  <c r="O68" i="57"/>
  <c r="O69" i="57"/>
  <c r="U73" i="57"/>
  <c r="P65" i="57"/>
  <c r="P62" i="57"/>
  <c r="P67" i="57"/>
  <c r="P66" i="57"/>
  <c r="P72" i="57"/>
  <c r="P70" i="57"/>
  <c r="P69" i="57"/>
  <c r="P71" i="57"/>
  <c r="P64" i="57"/>
  <c r="P68" i="57"/>
  <c r="P63" i="57"/>
  <c r="H54" i="56"/>
  <c r="L65" i="56"/>
  <c r="L66" i="56"/>
  <c r="L71" i="56"/>
  <c r="X13" i="55"/>
  <c r="L70" i="56"/>
  <c r="L72" i="56"/>
  <c r="G76" i="56"/>
  <c r="L67" i="56"/>
  <c r="G64" i="55"/>
  <c r="L69" i="56"/>
  <c r="H55" i="56"/>
  <c r="L73" i="56"/>
  <c r="H56" i="56"/>
  <c r="L64" i="56"/>
  <c r="X17" i="55"/>
  <c r="H66" i="55"/>
  <c r="G66" i="55" s="1"/>
  <c r="H70" i="55"/>
  <c r="G70" i="55" s="1"/>
  <c r="H65" i="55"/>
  <c r="X15" i="55" s="1"/>
  <c r="H69" i="55"/>
  <c r="G69" i="55" s="1"/>
  <c r="H68" i="55"/>
  <c r="G68" i="55" s="1"/>
  <c r="H71" i="55"/>
  <c r="G71" i="55" s="1"/>
  <c r="H62" i="55"/>
  <c r="L62" i="56"/>
  <c r="G75" i="56"/>
  <c r="G61" i="55"/>
  <c r="X11" i="55"/>
  <c r="J73" i="55"/>
  <c r="J72" i="55"/>
  <c r="F72" i="55"/>
  <c r="Q70" i="57" l="1"/>
  <c r="AB70" i="57" s="1"/>
  <c r="Q66" i="57"/>
  <c r="AB66" i="57" s="1"/>
  <c r="AD66" i="57" s="1"/>
  <c r="BH36" i="57" s="1"/>
  <c r="G29" i="59" s="1"/>
  <c r="Q69" i="57"/>
  <c r="AB69" i="57" s="1"/>
  <c r="AZ69" i="57" s="1"/>
  <c r="E94" i="57" s="1"/>
  <c r="F94" i="57" s="1"/>
  <c r="Q71" i="57"/>
  <c r="AB71" i="57" s="1"/>
  <c r="AZ71" i="57" s="1"/>
  <c r="E96" i="57" s="1"/>
  <c r="J96" i="57" s="1"/>
  <c r="Q62" i="57"/>
  <c r="AB62" i="57" s="1"/>
  <c r="AZ62" i="57" s="1"/>
  <c r="Q68" i="57"/>
  <c r="AB68" i="57" s="1"/>
  <c r="AD68" i="57" s="1"/>
  <c r="BH38" i="57" s="1"/>
  <c r="G31" i="59" s="1"/>
  <c r="Q72" i="57"/>
  <c r="AB72" i="57" s="1"/>
  <c r="Q67" i="57"/>
  <c r="AB67" i="57" s="1"/>
  <c r="AZ67" i="57" s="1"/>
  <c r="E92" i="57" s="1"/>
  <c r="F92" i="57" s="1"/>
  <c r="Q63" i="57"/>
  <c r="AB63" i="57" s="1"/>
  <c r="AZ63" i="57" s="1"/>
  <c r="Q64" i="57"/>
  <c r="AB64" i="57" s="1"/>
  <c r="Q65" i="57"/>
  <c r="AB65" i="57" s="1"/>
  <c r="AD61" i="57"/>
  <c r="BH31" i="57" s="1"/>
  <c r="G24" i="59" s="1"/>
  <c r="I55" i="56"/>
  <c r="J55" i="56" s="1"/>
  <c r="M62" i="56" s="1"/>
  <c r="X20" i="55"/>
  <c r="AZ70" i="57"/>
  <c r="E95" i="57" s="1"/>
  <c r="AD70" i="57"/>
  <c r="BH40" i="57" s="1"/>
  <c r="G33" i="59" s="1"/>
  <c r="J86" i="57"/>
  <c r="X18" i="55"/>
  <c r="I54" i="56"/>
  <c r="J54" i="56" s="1"/>
  <c r="M68" i="56" s="1"/>
  <c r="O68" i="56" s="1"/>
  <c r="X37" i="56" s="1"/>
  <c r="I56" i="56"/>
  <c r="J56" i="56" s="1"/>
  <c r="M66" i="56" s="1"/>
  <c r="X16" i="55"/>
  <c r="X19" i="55"/>
  <c r="H73" i="55"/>
  <c r="K60" i="55" s="1"/>
  <c r="M60" i="55" s="1"/>
  <c r="N60" i="55" s="1"/>
  <c r="X21" i="55"/>
  <c r="G65" i="55"/>
  <c r="X12" i="55"/>
  <c r="G62" i="55"/>
  <c r="H72" i="55"/>
  <c r="G72" i="55" s="1"/>
  <c r="Q62" i="56"/>
  <c r="M64" i="56"/>
  <c r="O64" i="56" s="1"/>
  <c r="X33" i="56" s="1"/>
  <c r="M73" i="56"/>
  <c r="M69" i="56"/>
  <c r="M70" i="56"/>
  <c r="O62" i="56"/>
  <c r="X31" i="56" s="1"/>
  <c r="M63" i="56"/>
  <c r="M67" i="56"/>
  <c r="M71" i="56"/>
  <c r="H86" i="57"/>
  <c r="AH86" i="57" s="1"/>
  <c r="K71" i="55"/>
  <c r="M71" i="55" s="1"/>
  <c r="N71" i="55" s="1"/>
  <c r="K67" i="55"/>
  <c r="M67" i="55" s="1"/>
  <c r="N67" i="55" s="1"/>
  <c r="AZ66" i="57" l="1"/>
  <c r="AD69" i="57"/>
  <c r="BH39" i="57" s="1"/>
  <c r="G32" i="59" s="1"/>
  <c r="AD71" i="57"/>
  <c r="BH41" i="57" s="1"/>
  <c r="G34" i="59" s="1"/>
  <c r="AD62" i="57"/>
  <c r="BH32" i="57" s="1"/>
  <c r="G25" i="59" s="1"/>
  <c r="AZ68" i="57"/>
  <c r="AD63" i="57"/>
  <c r="BH33" i="57" s="1"/>
  <c r="G26" i="59" s="1"/>
  <c r="AD72" i="57"/>
  <c r="BH42" i="57" s="1"/>
  <c r="G35" i="59" s="1"/>
  <c r="AZ72" i="57"/>
  <c r="AB73" i="57"/>
  <c r="H92" i="57"/>
  <c r="AH92" i="57" s="1"/>
  <c r="AD64" i="57"/>
  <c r="BH34" i="57" s="1"/>
  <c r="G27" i="59" s="1"/>
  <c r="AD67" i="57"/>
  <c r="BH37" i="57" s="1"/>
  <c r="G30" i="59" s="1"/>
  <c r="J92" i="57"/>
  <c r="Q73" i="57"/>
  <c r="AD65" i="57"/>
  <c r="BH35" i="57" s="1"/>
  <c r="G28" i="59" s="1"/>
  <c r="AZ65" i="57"/>
  <c r="AZ64" i="57"/>
  <c r="E89" i="57" s="1"/>
  <c r="F89" i="57" s="1"/>
  <c r="M72" i="56"/>
  <c r="F88" i="56"/>
  <c r="K88" i="56" s="1"/>
  <c r="K64" i="55"/>
  <c r="M64" i="55" s="1"/>
  <c r="N64" i="55" s="1"/>
  <c r="K63" i="55"/>
  <c r="M63" i="55" s="1"/>
  <c r="N63" i="55" s="1"/>
  <c r="K65" i="55"/>
  <c r="M65" i="55" s="1"/>
  <c r="N65" i="55" s="1"/>
  <c r="K70" i="55"/>
  <c r="M70" i="55" s="1"/>
  <c r="N70" i="55" s="1"/>
  <c r="K62" i="55"/>
  <c r="M62" i="55" s="1"/>
  <c r="N62" i="55" s="1"/>
  <c r="G73" i="55"/>
  <c r="L69" i="55" s="1"/>
  <c r="K69" i="55"/>
  <c r="M69" i="55" s="1"/>
  <c r="N69" i="55" s="1"/>
  <c r="E91" i="57"/>
  <c r="J91" i="57" s="1"/>
  <c r="J94" i="57"/>
  <c r="F96" i="57"/>
  <c r="E88" i="57"/>
  <c r="E87" i="57"/>
  <c r="F95" i="57"/>
  <c r="J95" i="57"/>
  <c r="O66" i="56"/>
  <c r="X35" i="56" s="1"/>
  <c r="Q68" i="56"/>
  <c r="M65" i="56"/>
  <c r="O65" i="56" s="1"/>
  <c r="X34" i="56" s="1"/>
  <c r="Q66" i="56"/>
  <c r="K66" i="55"/>
  <c r="M66" i="55" s="1"/>
  <c r="N66" i="55" s="1"/>
  <c r="K61" i="55"/>
  <c r="M61" i="55" s="1"/>
  <c r="X22" i="55"/>
  <c r="K68" i="55"/>
  <c r="M68" i="55" s="1"/>
  <c r="N68" i="55" s="1"/>
  <c r="Q67" i="56"/>
  <c r="F93" i="56" s="1"/>
  <c r="E93" i="56" s="1"/>
  <c r="Q63" i="56"/>
  <c r="O70" i="56"/>
  <c r="X39" i="56" s="1"/>
  <c r="Q69" i="56"/>
  <c r="F95" i="56" s="1"/>
  <c r="O71" i="56"/>
  <c r="X40" i="56" s="1"/>
  <c r="O73" i="56"/>
  <c r="X42" i="56" s="1"/>
  <c r="Q64" i="56"/>
  <c r="H94" i="57"/>
  <c r="AH94" i="57" s="1"/>
  <c r="O69" i="56"/>
  <c r="X38" i="56" s="1"/>
  <c r="Q73" i="56"/>
  <c r="O63" i="56"/>
  <c r="X32" i="56" s="1"/>
  <c r="Q70" i="56"/>
  <c r="E88" i="56"/>
  <c r="N72" i="56"/>
  <c r="N67" i="56"/>
  <c r="O67" i="56"/>
  <c r="X36" i="56" s="1"/>
  <c r="Q71" i="56"/>
  <c r="N70" i="56"/>
  <c r="N64" i="56"/>
  <c r="N69" i="56"/>
  <c r="N63" i="56"/>
  <c r="Q72" i="56"/>
  <c r="O72" i="56"/>
  <c r="X41" i="56" s="1"/>
  <c r="L70" i="55"/>
  <c r="L68" i="55"/>
  <c r="L60" i="55"/>
  <c r="G86" i="57"/>
  <c r="BD11" i="57"/>
  <c r="H8" i="59" s="1"/>
  <c r="L62" i="55"/>
  <c r="O69" i="55"/>
  <c r="X39" i="55" s="1"/>
  <c r="O70" i="55"/>
  <c r="X40" i="55" s="1"/>
  <c r="Q64" i="55"/>
  <c r="O64" i="55"/>
  <c r="X34" i="55" s="1"/>
  <c r="O71" i="55"/>
  <c r="X41" i="55" s="1"/>
  <c r="Q71" i="55"/>
  <c r="Q67" i="55"/>
  <c r="O67" i="55"/>
  <c r="X37" i="55" s="1"/>
  <c r="O65" i="55"/>
  <c r="X35" i="55" s="1"/>
  <c r="Q65" i="55"/>
  <c r="O66" i="55"/>
  <c r="X36" i="55" s="1"/>
  <c r="Q63" i="55"/>
  <c r="O63" i="55"/>
  <c r="X33" i="55" s="1"/>
  <c r="Q60" i="55"/>
  <c r="O60" i="55"/>
  <c r="X30" i="55" s="1"/>
  <c r="E93" i="57" l="1"/>
  <c r="J93" i="57" s="1"/>
  <c r="E90" i="57"/>
  <c r="F90" i="57" s="1"/>
  <c r="AD73" i="57"/>
  <c r="E97" i="57"/>
  <c r="J97" i="57" s="1"/>
  <c r="BD17" i="57"/>
  <c r="H14" i="59" s="1"/>
  <c r="G92" i="57"/>
  <c r="AZ73" i="57"/>
  <c r="C77" i="57" s="1"/>
  <c r="C78" i="57" s="1"/>
  <c r="C81" i="57" s="1"/>
  <c r="F92" i="56"/>
  <c r="K92" i="56" s="1"/>
  <c r="N71" i="56"/>
  <c r="F94" i="56"/>
  <c r="E94" i="56" s="1"/>
  <c r="Q65" i="56"/>
  <c r="Q75" i="56" s="1"/>
  <c r="N65" i="56"/>
  <c r="N68" i="56"/>
  <c r="L63" i="55"/>
  <c r="Q69" i="55"/>
  <c r="Q70" i="55"/>
  <c r="L61" i="55"/>
  <c r="L66" i="55"/>
  <c r="Q66" i="55"/>
  <c r="E91" i="55" s="1"/>
  <c r="F91" i="55" s="1"/>
  <c r="L67" i="55"/>
  <c r="Q62" i="55"/>
  <c r="E87" i="55" s="1"/>
  <c r="F87" i="55" s="1"/>
  <c r="L71" i="55"/>
  <c r="L65" i="55"/>
  <c r="O62" i="55"/>
  <c r="X32" i="55" s="1"/>
  <c r="L64" i="55"/>
  <c r="J89" i="57"/>
  <c r="H89" i="57"/>
  <c r="G89" i="57" s="1"/>
  <c r="F91" i="57"/>
  <c r="H96" i="57"/>
  <c r="J88" i="57"/>
  <c r="F88" i="57"/>
  <c r="H95" i="57"/>
  <c r="AH95" i="57" s="1"/>
  <c r="J87" i="57"/>
  <c r="F87" i="57"/>
  <c r="N62" i="56"/>
  <c r="N73" i="56"/>
  <c r="N66" i="56"/>
  <c r="M75" i="56"/>
  <c r="M72" i="55"/>
  <c r="N61" i="55"/>
  <c r="O68" i="55"/>
  <c r="X38" i="55" s="1"/>
  <c r="K94" i="56"/>
  <c r="Q68" i="55"/>
  <c r="E93" i="55" s="1"/>
  <c r="F93" i="55" s="1"/>
  <c r="F89" i="56"/>
  <c r="K89" i="56" s="1"/>
  <c r="K93" i="56"/>
  <c r="E89" i="55"/>
  <c r="F89" i="55" s="1"/>
  <c r="E90" i="55"/>
  <c r="F90" i="55" s="1"/>
  <c r="E85" i="55"/>
  <c r="F85" i="55" s="1"/>
  <c r="E95" i="55"/>
  <c r="F95" i="55" s="1"/>
  <c r="E94" i="55"/>
  <c r="F94" i="55" s="1"/>
  <c r="E92" i="55"/>
  <c r="J92" i="55" s="1"/>
  <c r="E96" i="55"/>
  <c r="F96" i="55" s="1"/>
  <c r="E88" i="55"/>
  <c r="F88" i="55" s="1"/>
  <c r="K95" i="56"/>
  <c r="E95" i="56"/>
  <c r="F90" i="56"/>
  <c r="H88" i="56"/>
  <c r="G88" i="56" s="1"/>
  <c r="H93" i="56"/>
  <c r="H94" i="56"/>
  <c r="F91" i="56"/>
  <c r="G94" i="57"/>
  <c r="BD19" i="57"/>
  <c r="H16" i="59" s="1"/>
  <c r="F97" i="56"/>
  <c r="K97" i="56" s="1"/>
  <c r="E92" i="56"/>
  <c r="F99" i="56"/>
  <c r="K99" i="56" s="1"/>
  <c r="F96" i="56"/>
  <c r="E96" i="56" s="1"/>
  <c r="F98" i="56"/>
  <c r="H95" i="55"/>
  <c r="F93" i="57" l="1"/>
  <c r="H90" i="57"/>
  <c r="BD15" i="57" s="1"/>
  <c r="H12" i="59" s="1"/>
  <c r="F97" i="57"/>
  <c r="E98" i="57"/>
  <c r="J90" i="57"/>
  <c r="J98" i="57" s="1"/>
  <c r="H91" i="57"/>
  <c r="AH91" i="57" s="1"/>
  <c r="Q61" i="55"/>
  <c r="O61" i="55"/>
  <c r="X31" i="55" s="1"/>
  <c r="N72" i="55"/>
  <c r="G96" i="57"/>
  <c r="AH96" i="57"/>
  <c r="H93" i="57"/>
  <c r="BD14" i="57"/>
  <c r="H11" i="59" s="1"/>
  <c r="AH89" i="57"/>
  <c r="BD21" i="57"/>
  <c r="H18" i="59" s="1"/>
  <c r="H88" i="57"/>
  <c r="AH88" i="57" s="1"/>
  <c r="H87" i="57"/>
  <c r="AH87" i="57" s="1"/>
  <c r="G95" i="57"/>
  <c r="BD20" i="57"/>
  <c r="H17" i="59" s="1"/>
  <c r="H88" i="55"/>
  <c r="G88" i="55" s="1"/>
  <c r="E89" i="56"/>
  <c r="H89" i="56" s="1"/>
  <c r="E97" i="56"/>
  <c r="H97" i="56" s="1"/>
  <c r="G97" i="56" s="1"/>
  <c r="H90" i="55"/>
  <c r="G90" i="55" s="1"/>
  <c r="H91" i="55"/>
  <c r="G91" i="55" s="1"/>
  <c r="H87" i="55"/>
  <c r="G87" i="55" s="1"/>
  <c r="J88" i="55"/>
  <c r="I88" i="56"/>
  <c r="H93" i="55"/>
  <c r="G93" i="55" s="1"/>
  <c r="H96" i="55"/>
  <c r="Y21" i="55" s="1"/>
  <c r="J93" i="55"/>
  <c r="E86" i="55"/>
  <c r="F86" i="55" s="1"/>
  <c r="H89" i="55"/>
  <c r="G89" i="55" s="1"/>
  <c r="F92" i="55"/>
  <c r="O72" i="55"/>
  <c r="H94" i="55"/>
  <c r="J94" i="55"/>
  <c r="Y11" i="56"/>
  <c r="Y16" i="56"/>
  <c r="I93" i="56"/>
  <c r="H95" i="56"/>
  <c r="E91" i="56"/>
  <c r="K91" i="56"/>
  <c r="H92" i="56"/>
  <c r="K90" i="56"/>
  <c r="E90" i="56"/>
  <c r="G93" i="56"/>
  <c r="Y17" i="56"/>
  <c r="I94" i="56"/>
  <c r="G94" i="56"/>
  <c r="H96" i="56"/>
  <c r="G96" i="56" s="1"/>
  <c r="E99" i="56"/>
  <c r="K96" i="56"/>
  <c r="K98" i="56"/>
  <c r="E98" i="56"/>
  <c r="F101" i="56"/>
  <c r="G95" i="55"/>
  <c r="Y20" i="55"/>
  <c r="Q72" i="55"/>
  <c r="J87" i="55"/>
  <c r="J89" i="55"/>
  <c r="J95" i="55"/>
  <c r="J91" i="55"/>
  <c r="J90" i="55"/>
  <c r="J96" i="55"/>
  <c r="J85" i="55"/>
  <c r="H85" i="55"/>
  <c r="AH90" i="57" l="1"/>
  <c r="G90" i="57"/>
  <c r="F98" i="57"/>
  <c r="S92" i="57" s="1"/>
  <c r="H97" i="57"/>
  <c r="BD22" i="57" s="1"/>
  <c r="H19" i="59" s="1"/>
  <c r="J99" i="57"/>
  <c r="BD16" i="57"/>
  <c r="H13" i="59" s="1"/>
  <c r="G91" i="57"/>
  <c r="G96" i="55"/>
  <c r="Y13" i="55"/>
  <c r="BD18" i="57"/>
  <c r="H15" i="59" s="1"/>
  <c r="AH93" i="57"/>
  <c r="G93" i="57"/>
  <c r="BD13" i="57"/>
  <c r="H10" i="59" s="1"/>
  <c r="G88" i="57"/>
  <c r="G87" i="57"/>
  <c r="BD12" i="57"/>
  <c r="H9" i="59" s="1"/>
  <c r="Y15" i="55"/>
  <c r="Y16" i="55"/>
  <c r="I96" i="56"/>
  <c r="Y19" i="56"/>
  <c r="Y18" i="55"/>
  <c r="Y12" i="55"/>
  <c r="G94" i="55"/>
  <c r="Y19" i="55"/>
  <c r="C76" i="55"/>
  <c r="C77" i="55" s="1"/>
  <c r="C80" i="55" s="1"/>
  <c r="H92" i="55"/>
  <c r="Y14" i="55"/>
  <c r="H91" i="56"/>
  <c r="Y18" i="56"/>
  <c r="I95" i="56"/>
  <c r="G95" i="56"/>
  <c r="H90" i="56"/>
  <c r="Y12" i="56"/>
  <c r="G89" i="56"/>
  <c r="I89" i="56"/>
  <c r="I92" i="56"/>
  <c r="G92" i="56"/>
  <c r="Y15" i="56"/>
  <c r="H99" i="56"/>
  <c r="G99" i="56" s="1"/>
  <c r="Y20" i="56"/>
  <c r="I97" i="56"/>
  <c r="K101" i="56"/>
  <c r="H98" i="56"/>
  <c r="E101" i="56"/>
  <c r="G85" i="55"/>
  <c r="Y10" i="55"/>
  <c r="F97" i="55"/>
  <c r="H86" i="55"/>
  <c r="J86" i="55"/>
  <c r="E97" i="55"/>
  <c r="S86" i="57" l="1"/>
  <c r="U86" i="57" s="1"/>
  <c r="AH97" i="57"/>
  <c r="H99" i="57"/>
  <c r="O90" i="57" s="1"/>
  <c r="S96" i="57"/>
  <c r="U96" i="57" s="1"/>
  <c r="H98" i="57"/>
  <c r="AH98" i="57" s="1"/>
  <c r="S88" i="57"/>
  <c r="U88" i="57" s="1"/>
  <c r="S95" i="57"/>
  <c r="U95" i="57" s="1"/>
  <c r="S87" i="57"/>
  <c r="U87" i="57" s="1"/>
  <c r="S91" i="57"/>
  <c r="U91" i="57" s="1"/>
  <c r="S90" i="57"/>
  <c r="U90" i="57" s="1"/>
  <c r="G97" i="57"/>
  <c r="G99" i="57" s="1"/>
  <c r="P86" i="57" s="1"/>
  <c r="S97" i="57"/>
  <c r="U97" i="57" s="1"/>
  <c r="S94" i="57"/>
  <c r="U94" i="57" s="1"/>
  <c r="S93" i="57"/>
  <c r="U93" i="57" s="1"/>
  <c r="S89" i="57"/>
  <c r="U89" i="57" s="1"/>
  <c r="U92" i="57"/>
  <c r="J98" i="55"/>
  <c r="G92" i="55"/>
  <c r="Y17" i="55"/>
  <c r="H97" i="55"/>
  <c r="G97" i="55" s="1"/>
  <c r="H101" i="56"/>
  <c r="Y23" i="56" s="1"/>
  <c r="Y13" i="56"/>
  <c r="I90" i="56"/>
  <c r="G90" i="56"/>
  <c r="I99" i="56"/>
  <c r="Y22" i="56"/>
  <c r="Y14" i="56"/>
  <c r="I91" i="56"/>
  <c r="G91" i="56"/>
  <c r="Y21" i="56"/>
  <c r="G98" i="56"/>
  <c r="I98" i="56"/>
  <c r="H102" i="56"/>
  <c r="G86" i="55"/>
  <c r="Y11" i="55"/>
  <c r="H98" i="55"/>
  <c r="K94" i="55" s="1"/>
  <c r="J97" i="55"/>
  <c r="O93" i="57" l="1"/>
  <c r="O94" i="57"/>
  <c r="O91" i="57"/>
  <c r="O89" i="57"/>
  <c r="O92" i="57"/>
  <c r="O86" i="57"/>
  <c r="Q86" i="57" s="1"/>
  <c r="AB86" i="57" s="1"/>
  <c r="AZ86" i="57" s="1"/>
  <c r="O87" i="57"/>
  <c r="O95" i="57"/>
  <c r="O96" i="57"/>
  <c r="BD23" i="57"/>
  <c r="H20" i="59" s="1"/>
  <c r="O97" i="57"/>
  <c r="Q97" i="57" s="1"/>
  <c r="AB97" i="57" s="1"/>
  <c r="AZ97" i="57" s="1"/>
  <c r="G98" i="57"/>
  <c r="O88" i="57"/>
  <c r="U98" i="57"/>
  <c r="P88" i="57"/>
  <c r="P87" i="57"/>
  <c r="P93" i="57"/>
  <c r="Q93" i="57" s="1"/>
  <c r="AB93" i="57" s="1"/>
  <c r="AZ93" i="57" s="1"/>
  <c r="P97" i="57"/>
  <c r="P90" i="57"/>
  <c r="Q90" i="57" s="1"/>
  <c r="AB90" i="57" s="1"/>
  <c r="P91" i="57"/>
  <c r="P89" i="57"/>
  <c r="Q89" i="57" s="1"/>
  <c r="AB89" i="57" s="1"/>
  <c r="P94" i="57"/>
  <c r="Q94" i="57" s="1"/>
  <c r="AB94" i="57" s="1"/>
  <c r="P95" i="57"/>
  <c r="P92" i="57"/>
  <c r="P96" i="57"/>
  <c r="G101" i="56"/>
  <c r="G98" i="55"/>
  <c r="L93" i="55" s="1"/>
  <c r="L98" i="56"/>
  <c r="G102" i="56"/>
  <c r="Y22" i="55"/>
  <c r="L92" i="56"/>
  <c r="L91" i="56"/>
  <c r="L96" i="56"/>
  <c r="H80" i="56"/>
  <c r="L95" i="56"/>
  <c r="L97" i="56"/>
  <c r="H82" i="56"/>
  <c r="H81" i="56"/>
  <c r="L99" i="56"/>
  <c r="L94" i="56"/>
  <c r="L90" i="56"/>
  <c r="L88" i="56"/>
  <c r="L89" i="56"/>
  <c r="L93" i="56"/>
  <c r="L89" i="55"/>
  <c r="L94" i="55"/>
  <c r="L85" i="55"/>
  <c r="L87" i="55"/>
  <c r="L90" i="55"/>
  <c r="L88" i="55"/>
  <c r="L92" i="55"/>
  <c r="L86" i="55"/>
  <c r="L91" i="55"/>
  <c r="K85" i="55"/>
  <c r="M85" i="55" s="1"/>
  <c r="N85" i="55" s="1"/>
  <c r="K95" i="55"/>
  <c r="M95" i="55" s="1"/>
  <c r="N95" i="55" s="1"/>
  <c r="K87" i="55"/>
  <c r="M87" i="55" s="1"/>
  <c r="N87" i="55" s="1"/>
  <c r="K91" i="55"/>
  <c r="M91" i="55" s="1"/>
  <c r="N91" i="55" s="1"/>
  <c r="K88" i="55"/>
  <c r="M88" i="55" s="1"/>
  <c r="N88" i="55" s="1"/>
  <c r="K89" i="55"/>
  <c r="M89" i="55" s="1"/>
  <c r="N89" i="55" s="1"/>
  <c r="K90" i="55"/>
  <c r="M90" i="55" s="1"/>
  <c r="N90" i="55" s="1"/>
  <c r="K92" i="55"/>
  <c r="M92" i="55" s="1"/>
  <c r="N92" i="55" s="1"/>
  <c r="K93" i="55"/>
  <c r="M93" i="55" s="1"/>
  <c r="N93" i="55" s="1"/>
  <c r="K96" i="55"/>
  <c r="M96" i="55" s="1"/>
  <c r="N96" i="55" s="1"/>
  <c r="K86" i="55"/>
  <c r="M86" i="55" s="1"/>
  <c r="M94" i="55"/>
  <c r="N94" i="55" s="1"/>
  <c r="Q91" i="57" l="1"/>
  <c r="AB91" i="57" s="1"/>
  <c r="Q92" i="57"/>
  <c r="AB92" i="57" s="1"/>
  <c r="AD92" i="57" s="1"/>
  <c r="BI37" i="57" s="1"/>
  <c r="H30" i="59" s="1"/>
  <c r="Q96" i="57"/>
  <c r="AB96" i="57" s="1"/>
  <c r="AZ96" i="57" s="1"/>
  <c r="E121" i="57" s="1"/>
  <c r="Q95" i="57"/>
  <c r="AB95" i="57" s="1"/>
  <c r="AZ95" i="57" s="1"/>
  <c r="Q87" i="57"/>
  <c r="AB87" i="57" s="1"/>
  <c r="AZ87" i="57" s="1"/>
  <c r="Q88" i="57"/>
  <c r="AB88" i="57" s="1"/>
  <c r="AZ88" i="57" s="1"/>
  <c r="L95" i="55"/>
  <c r="AD91" i="57"/>
  <c r="BI36" i="57" s="1"/>
  <c r="H29" i="59" s="1"/>
  <c r="AZ91" i="57"/>
  <c r="E116" i="57" s="1"/>
  <c r="AZ89" i="57"/>
  <c r="E114" i="57" s="1"/>
  <c r="AD90" i="57"/>
  <c r="BI35" i="57" s="1"/>
  <c r="H28" i="59" s="1"/>
  <c r="AZ90" i="57"/>
  <c r="E115" i="57" s="1"/>
  <c r="AD94" i="57"/>
  <c r="BI39" i="57" s="1"/>
  <c r="H32" i="59" s="1"/>
  <c r="AZ94" i="57"/>
  <c r="AZ92" i="57"/>
  <c r="AD89" i="57"/>
  <c r="BI34" i="57" s="1"/>
  <c r="H27" i="59" s="1"/>
  <c r="AD86" i="57"/>
  <c r="BI31" i="57" s="1"/>
  <c r="H24" i="59" s="1"/>
  <c r="AD97" i="57"/>
  <c r="BI42" i="57" s="1"/>
  <c r="H35" i="59" s="1"/>
  <c r="AD93" i="57"/>
  <c r="BI38" i="57" s="1"/>
  <c r="H31" i="59" s="1"/>
  <c r="L96" i="55"/>
  <c r="I80" i="56"/>
  <c r="J80" i="56" s="1"/>
  <c r="I81" i="56"/>
  <c r="J81" i="56" s="1"/>
  <c r="M96" i="56" s="1"/>
  <c r="M98" i="56"/>
  <c r="I82" i="56"/>
  <c r="J82" i="56" s="1"/>
  <c r="O96" i="55"/>
  <c r="Y41" i="55" s="1"/>
  <c r="O90" i="55"/>
  <c r="Y35" i="55" s="1"/>
  <c r="O89" i="55"/>
  <c r="Y34" i="55" s="1"/>
  <c r="Q89" i="55"/>
  <c r="O88" i="55"/>
  <c r="Y33" i="55" s="1"/>
  <c r="Q88" i="55"/>
  <c r="M97" i="55"/>
  <c r="N86" i="55"/>
  <c r="Q91" i="55"/>
  <c r="O91" i="55"/>
  <c r="Y36" i="55" s="1"/>
  <c r="O94" i="55"/>
  <c r="Y39" i="55" s="1"/>
  <c r="Q94" i="55"/>
  <c r="O92" i="55"/>
  <c r="Y37" i="55" s="1"/>
  <c r="Q92" i="55"/>
  <c r="Q87" i="55"/>
  <c r="O87" i="55"/>
  <c r="Y32" i="55" s="1"/>
  <c r="Q93" i="55"/>
  <c r="O93" i="55"/>
  <c r="Y38" i="55" s="1"/>
  <c r="O95" i="55"/>
  <c r="Y40" i="55" s="1"/>
  <c r="Q95" i="55"/>
  <c r="Q96" i="55"/>
  <c r="Q90" i="55"/>
  <c r="O85" i="55"/>
  <c r="Y30" i="55" s="1"/>
  <c r="Q85" i="55"/>
  <c r="AD96" i="57" l="1"/>
  <c r="BI41" i="57" s="1"/>
  <c r="H34" i="59" s="1"/>
  <c r="AD95" i="57"/>
  <c r="BI40" i="57" s="1"/>
  <c r="H33" i="59" s="1"/>
  <c r="AB98" i="57"/>
  <c r="AD98" i="57" s="1"/>
  <c r="E120" i="57"/>
  <c r="J120" i="57" s="1"/>
  <c r="AD87" i="57"/>
  <c r="BI32" i="57" s="1"/>
  <c r="H25" i="59" s="1"/>
  <c r="Q98" i="57"/>
  <c r="AD88" i="57"/>
  <c r="BI33" i="57" s="1"/>
  <c r="H26" i="59" s="1"/>
  <c r="E117" i="57"/>
  <c r="J117" i="57" s="1"/>
  <c r="E119" i="57"/>
  <c r="F119" i="57" s="1"/>
  <c r="AZ98" i="57"/>
  <c r="F116" i="57"/>
  <c r="J116" i="57"/>
  <c r="E112" i="57"/>
  <c r="F121" i="57"/>
  <c r="J121" i="57"/>
  <c r="E118" i="57"/>
  <c r="E113" i="57"/>
  <c r="F114" i="57"/>
  <c r="J114" i="57"/>
  <c r="E122" i="57"/>
  <c r="F115" i="57"/>
  <c r="J115" i="57"/>
  <c r="E111" i="57"/>
  <c r="E110" i="55"/>
  <c r="F110" i="55" s="1"/>
  <c r="E114" i="55"/>
  <c r="F114" i="55" s="1"/>
  <c r="M90" i="56"/>
  <c r="Q90" i="56" s="1"/>
  <c r="M94" i="56"/>
  <c r="M92" i="56"/>
  <c r="O96" i="56"/>
  <c r="Y39" i="56" s="1"/>
  <c r="Q96" i="56"/>
  <c r="M95" i="56"/>
  <c r="M99" i="56"/>
  <c r="M91" i="56"/>
  <c r="M89" i="56"/>
  <c r="Q98" i="56"/>
  <c r="O98" i="56"/>
  <c r="Y41" i="56" s="1"/>
  <c r="M97" i="56"/>
  <c r="M88" i="56"/>
  <c r="M93" i="56"/>
  <c r="O86" i="55"/>
  <c r="Y31" i="55" s="1"/>
  <c r="E115" i="55"/>
  <c r="F115" i="55" s="1"/>
  <c r="E113" i="55"/>
  <c r="F113" i="55" s="1"/>
  <c r="E118" i="55"/>
  <c r="F118" i="55" s="1"/>
  <c r="E116" i="55"/>
  <c r="F116" i="55" s="1"/>
  <c r="E112" i="55"/>
  <c r="F112" i="55" s="1"/>
  <c r="E117" i="55"/>
  <c r="F117" i="55" s="1"/>
  <c r="E121" i="55"/>
  <c r="F121" i="55" s="1"/>
  <c r="E120" i="55"/>
  <c r="F120" i="55" s="1"/>
  <c r="E119" i="55"/>
  <c r="F119" i="55" s="1"/>
  <c r="N97" i="55"/>
  <c r="Q86" i="55"/>
  <c r="F120" i="57" l="1"/>
  <c r="F117" i="57"/>
  <c r="H117" i="57" s="1"/>
  <c r="AH117" i="57" s="1"/>
  <c r="J119" i="57"/>
  <c r="H120" i="57"/>
  <c r="AH120" i="57" s="1"/>
  <c r="H121" i="57"/>
  <c r="AH121" i="57" s="1"/>
  <c r="F112" i="57"/>
  <c r="J112" i="57"/>
  <c r="J113" i="57"/>
  <c r="F113" i="57"/>
  <c r="C102" i="57"/>
  <c r="C103" i="57" s="1"/>
  <c r="C106" i="57" s="1"/>
  <c r="H115" i="57"/>
  <c r="AH115" i="57" s="1"/>
  <c r="H116" i="57"/>
  <c r="AH116" i="57" s="1"/>
  <c r="H114" i="57"/>
  <c r="AH114" i="57" s="1"/>
  <c r="F111" i="57"/>
  <c r="J111" i="57"/>
  <c r="E123" i="57"/>
  <c r="F118" i="57"/>
  <c r="J118" i="57"/>
  <c r="J122" i="57"/>
  <c r="F122" i="57"/>
  <c r="H119" i="57"/>
  <c r="AH119" i="57" s="1"/>
  <c r="J114" i="55"/>
  <c r="H114" i="55"/>
  <c r="G114" i="55" s="1"/>
  <c r="H118" i="55"/>
  <c r="Z18" i="55" s="1"/>
  <c r="H115" i="55"/>
  <c r="G115" i="55" s="1"/>
  <c r="O97" i="55"/>
  <c r="H113" i="55"/>
  <c r="G113" i="55" s="1"/>
  <c r="H119" i="55"/>
  <c r="G119" i="55" s="1"/>
  <c r="H120" i="55"/>
  <c r="G120" i="55" s="1"/>
  <c r="H121" i="55"/>
  <c r="G121" i="55" s="1"/>
  <c r="H112" i="55"/>
  <c r="Z12" i="55" s="1"/>
  <c r="H117" i="55"/>
  <c r="G117" i="55" s="1"/>
  <c r="H116" i="55"/>
  <c r="G116" i="55" s="1"/>
  <c r="O92" i="56"/>
  <c r="Y35" i="56" s="1"/>
  <c r="Q94" i="56"/>
  <c r="O90" i="56"/>
  <c r="Y33" i="56" s="1"/>
  <c r="O94" i="56"/>
  <c r="Y37" i="56" s="1"/>
  <c r="Q92" i="56"/>
  <c r="F122" i="56"/>
  <c r="Q88" i="56"/>
  <c r="M101" i="56"/>
  <c r="O88" i="56"/>
  <c r="Y31" i="56" s="1"/>
  <c r="N88" i="56"/>
  <c r="N98" i="56"/>
  <c r="F124" i="56"/>
  <c r="O89" i="56"/>
  <c r="Y32" i="56" s="1"/>
  <c r="Q89" i="56"/>
  <c r="N89" i="56"/>
  <c r="O93" i="56"/>
  <c r="Y36" i="56" s="1"/>
  <c r="Q93" i="56"/>
  <c r="N93" i="56"/>
  <c r="Q97" i="56"/>
  <c r="O97" i="56"/>
  <c r="Y40" i="56" s="1"/>
  <c r="N97" i="56"/>
  <c r="Q95" i="56"/>
  <c r="O95" i="56"/>
  <c r="Y38" i="56" s="1"/>
  <c r="N95" i="56"/>
  <c r="Q99" i="56"/>
  <c r="N99" i="56"/>
  <c r="O99" i="56"/>
  <c r="Y42" i="56" s="1"/>
  <c r="Q91" i="56"/>
  <c r="N91" i="56"/>
  <c r="O91" i="56"/>
  <c r="Y34" i="56" s="1"/>
  <c r="N90" i="56"/>
  <c r="N92" i="56"/>
  <c r="N94" i="56"/>
  <c r="F116" i="56"/>
  <c r="N96" i="56"/>
  <c r="Z17" i="55"/>
  <c r="J116" i="55"/>
  <c r="J120" i="55"/>
  <c r="J118" i="55"/>
  <c r="J119" i="55"/>
  <c r="J112" i="55"/>
  <c r="J121" i="55"/>
  <c r="E111" i="55"/>
  <c r="F111" i="55" s="1"/>
  <c r="J117" i="55"/>
  <c r="J113" i="55"/>
  <c r="J115" i="55"/>
  <c r="Q97" i="55"/>
  <c r="H110" i="55"/>
  <c r="J110" i="55"/>
  <c r="Z14" i="55" l="1"/>
  <c r="Z19" i="55"/>
  <c r="G118" i="55"/>
  <c r="Z20" i="55"/>
  <c r="J123" i="57"/>
  <c r="H118" i="57"/>
  <c r="AH118" i="57" s="1"/>
  <c r="BE21" i="57"/>
  <c r="I18" i="59" s="1"/>
  <c r="G121" i="57"/>
  <c r="BE19" i="57"/>
  <c r="I16" i="59" s="1"/>
  <c r="G119" i="57"/>
  <c r="H111" i="57"/>
  <c r="AH111" i="57" s="1"/>
  <c r="F123" i="57"/>
  <c r="S113" i="57" s="1"/>
  <c r="BE20" i="57"/>
  <c r="I17" i="59" s="1"/>
  <c r="G120" i="57"/>
  <c r="BE14" i="57"/>
  <c r="I11" i="59" s="1"/>
  <c r="G114" i="57"/>
  <c r="H113" i="57"/>
  <c r="AH113" i="57" s="1"/>
  <c r="H122" i="57"/>
  <c r="AH122" i="57" s="1"/>
  <c r="G116" i="57"/>
  <c r="BE16" i="57"/>
  <c r="I13" i="59" s="1"/>
  <c r="G117" i="57"/>
  <c r="BE17" i="57"/>
  <c r="I14" i="59" s="1"/>
  <c r="G115" i="57"/>
  <c r="BE15" i="57"/>
  <c r="I12" i="59" s="1"/>
  <c r="J124" i="57"/>
  <c r="H112" i="57"/>
  <c r="AH112" i="57" s="1"/>
  <c r="Z15" i="55"/>
  <c r="F120" i="56"/>
  <c r="G112" i="55"/>
  <c r="C101" i="55"/>
  <c r="C102" i="55" s="1"/>
  <c r="C105" i="55" s="1"/>
  <c r="Z13" i="55"/>
  <c r="Z16" i="55"/>
  <c r="Z21" i="55"/>
  <c r="F118" i="56"/>
  <c r="E118" i="56" s="1"/>
  <c r="Q101" i="56"/>
  <c r="F117" i="56"/>
  <c r="F119" i="56"/>
  <c r="F121" i="56"/>
  <c r="F114" i="56"/>
  <c r="K120" i="56"/>
  <c r="E120" i="56"/>
  <c r="K118" i="56"/>
  <c r="F115" i="56"/>
  <c r="E122" i="56"/>
  <c r="K122" i="56"/>
  <c r="F123" i="56"/>
  <c r="K116" i="56"/>
  <c r="E116" i="56"/>
  <c r="F125" i="56"/>
  <c r="E124" i="56"/>
  <c r="K124" i="56"/>
  <c r="G110" i="55"/>
  <c r="Z10" i="55"/>
  <c r="F122" i="55"/>
  <c r="H111" i="55"/>
  <c r="J111" i="55"/>
  <c r="J122" i="55" s="1"/>
  <c r="E122" i="55"/>
  <c r="S112" i="57" l="1"/>
  <c r="U112" i="57" s="1"/>
  <c r="S111" i="57"/>
  <c r="U111" i="57" s="1"/>
  <c r="U113" i="57"/>
  <c r="BE12" i="57"/>
  <c r="I9" i="59" s="1"/>
  <c r="G112" i="57"/>
  <c r="BE22" i="57"/>
  <c r="I19" i="59" s="1"/>
  <c r="G122" i="57"/>
  <c r="BE13" i="57"/>
  <c r="I10" i="59" s="1"/>
  <c r="G113" i="57"/>
  <c r="S121" i="57"/>
  <c r="U121" i="57" s="1"/>
  <c r="S114" i="57"/>
  <c r="U114" i="57" s="1"/>
  <c r="S116" i="57"/>
  <c r="U116" i="57" s="1"/>
  <c r="S119" i="57"/>
  <c r="U119" i="57" s="1"/>
  <c r="H123" i="57"/>
  <c r="AH123" i="57" s="1"/>
  <c r="S115" i="57"/>
  <c r="U115" i="57" s="1"/>
  <c r="S117" i="57"/>
  <c r="U117" i="57" s="1"/>
  <c r="S120" i="57"/>
  <c r="U120" i="57" s="1"/>
  <c r="G111" i="57"/>
  <c r="BE11" i="57"/>
  <c r="I8" i="59" s="1"/>
  <c r="H124" i="57"/>
  <c r="O113" i="57" s="1"/>
  <c r="S118" i="57"/>
  <c r="U118" i="57" s="1"/>
  <c r="BE18" i="57"/>
  <c r="I15" i="59" s="1"/>
  <c r="G118" i="57"/>
  <c r="S122" i="57"/>
  <c r="U122" i="57" s="1"/>
  <c r="H122" i="55"/>
  <c r="Z22" i="55" s="1"/>
  <c r="H120" i="56"/>
  <c r="Z17" i="56" s="1"/>
  <c r="H116" i="56"/>
  <c r="G116" i="56" s="1"/>
  <c r="H124" i="56"/>
  <c r="Z21" i="56" s="1"/>
  <c r="H118" i="56"/>
  <c r="G118" i="56" s="1"/>
  <c r="H122" i="56"/>
  <c r="I122" i="56" s="1"/>
  <c r="K121" i="56"/>
  <c r="E121" i="56"/>
  <c r="E115" i="56"/>
  <c r="K115" i="56"/>
  <c r="K123" i="56"/>
  <c r="E123" i="56"/>
  <c r="K119" i="56"/>
  <c r="E119" i="56"/>
  <c r="K114" i="56"/>
  <c r="F127" i="56"/>
  <c r="E114" i="56"/>
  <c r="K125" i="56"/>
  <c r="E125" i="56"/>
  <c r="K117" i="56"/>
  <c r="E117" i="56"/>
  <c r="J123" i="55"/>
  <c r="G122" i="55"/>
  <c r="G111" i="55"/>
  <c r="Z11" i="55"/>
  <c r="H123" i="55"/>
  <c r="K110" i="55" s="1"/>
  <c r="G124" i="57" l="1"/>
  <c r="P111" i="57" s="1"/>
  <c r="O122" i="57"/>
  <c r="U123" i="57"/>
  <c r="O112" i="57"/>
  <c r="O118" i="57"/>
  <c r="O111" i="57"/>
  <c r="O119" i="57"/>
  <c r="O115" i="57"/>
  <c r="O121" i="57"/>
  <c r="O114" i="57"/>
  <c r="O116" i="57"/>
  <c r="O117" i="57"/>
  <c r="O120" i="57"/>
  <c r="G123" i="57"/>
  <c r="BE23" i="57"/>
  <c r="I20" i="59" s="1"/>
  <c r="Z15" i="56"/>
  <c r="I118" i="56"/>
  <c r="G122" i="56"/>
  <c r="I120" i="56"/>
  <c r="Z13" i="56"/>
  <c r="G124" i="56"/>
  <c r="I124" i="56"/>
  <c r="I116" i="56"/>
  <c r="Z19" i="56"/>
  <c r="G120" i="56"/>
  <c r="H125" i="56"/>
  <c r="Z22" i="56" s="1"/>
  <c r="H123" i="56"/>
  <c r="I123" i="56" s="1"/>
  <c r="H117" i="56"/>
  <c r="Z14" i="56" s="1"/>
  <c r="H121" i="56"/>
  <c r="Z18" i="56" s="1"/>
  <c r="H119" i="56"/>
  <c r="G119" i="56" s="1"/>
  <c r="H115" i="56"/>
  <c r="G115" i="56" s="1"/>
  <c r="K127" i="56"/>
  <c r="H114" i="56"/>
  <c r="E127" i="56"/>
  <c r="M110" i="55"/>
  <c r="N110" i="55" s="1"/>
  <c r="K114" i="55"/>
  <c r="M114" i="55" s="1"/>
  <c r="N114" i="55" s="1"/>
  <c r="K116" i="55"/>
  <c r="M116" i="55" s="1"/>
  <c r="N116" i="55" s="1"/>
  <c r="K113" i="55"/>
  <c r="M113" i="55" s="1"/>
  <c r="N113" i="55" s="1"/>
  <c r="K121" i="55"/>
  <c r="M121" i="55" s="1"/>
  <c r="N121" i="55" s="1"/>
  <c r="K115" i="55"/>
  <c r="M115" i="55" s="1"/>
  <c r="N115" i="55" s="1"/>
  <c r="K117" i="55"/>
  <c r="M117" i="55" s="1"/>
  <c r="N117" i="55" s="1"/>
  <c r="K111" i="55"/>
  <c r="M111" i="55" s="1"/>
  <c r="N111" i="55" s="1"/>
  <c r="K112" i="55"/>
  <c r="M112" i="55" s="1"/>
  <c r="N112" i="55" s="1"/>
  <c r="K120" i="55"/>
  <c r="M120" i="55" s="1"/>
  <c r="N120" i="55" s="1"/>
  <c r="G123" i="55"/>
  <c r="K118" i="55"/>
  <c r="M118" i="55" s="1"/>
  <c r="N118" i="55" s="1"/>
  <c r="K119" i="55"/>
  <c r="M119" i="55" s="1"/>
  <c r="N119" i="55" s="1"/>
  <c r="P118" i="57" l="1"/>
  <c r="Q118" i="57" s="1"/>
  <c r="AB118" i="57" s="1"/>
  <c r="AZ118" i="57" s="1"/>
  <c r="P120" i="57"/>
  <c r="P117" i="57"/>
  <c r="P116" i="57"/>
  <c r="Q116" i="57" s="1"/>
  <c r="AB116" i="57" s="1"/>
  <c r="AZ116" i="57" s="1"/>
  <c r="P112" i="57"/>
  <c r="Q112" i="57" s="1"/>
  <c r="AB112" i="57" s="1"/>
  <c r="AZ112" i="57" s="1"/>
  <c r="P122" i="57"/>
  <c r="Q122" i="57" s="1"/>
  <c r="AB122" i="57" s="1"/>
  <c r="P119" i="57"/>
  <c r="Q119" i="57" s="1"/>
  <c r="AB119" i="57" s="1"/>
  <c r="AZ119" i="57" s="1"/>
  <c r="Q111" i="57"/>
  <c r="AB111" i="57" s="1"/>
  <c r="AZ111" i="57" s="1"/>
  <c r="P114" i="57"/>
  <c r="Q114" i="57" s="1"/>
  <c r="AB114" i="57" s="1"/>
  <c r="P113" i="57"/>
  <c r="Q113" i="57" s="1"/>
  <c r="AB113" i="57" s="1"/>
  <c r="P115" i="57"/>
  <c r="Q115" i="57" s="1"/>
  <c r="AB115" i="57" s="1"/>
  <c r="AZ115" i="57" s="1"/>
  <c r="P121" i="57"/>
  <c r="Q121" i="57" s="1"/>
  <c r="AB121" i="57" s="1"/>
  <c r="AZ121" i="57" s="1"/>
  <c r="AD118" i="57"/>
  <c r="BJ38" i="57" s="1"/>
  <c r="I31" i="59" s="1"/>
  <c r="Q117" i="57"/>
  <c r="AB117" i="57" s="1"/>
  <c r="AZ117" i="57" s="1"/>
  <c r="Q120" i="57"/>
  <c r="AB120" i="57" s="1"/>
  <c r="AZ120" i="57" s="1"/>
  <c r="I117" i="56"/>
  <c r="Z20" i="56"/>
  <c r="G125" i="56"/>
  <c r="I125" i="56"/>
  <c r="Z16" i="56"/>
  <c r="I119" i="56"/>
  <c r="Z12" i="56"/>
  <c r="G123" i="56"/>
  <c r="Q110" i="55"/>
  <c r="H127" i="56"/>
  <c r="G127" i="56" s="1"/>
  <c r="G117" i="56"/>
  <c r="I121" i="56"/>
  <c r="G121" i="56"/>
  <c r="I115" i="56"/>
  <c r="I114" i="56"/>
  <c r="Z11" i="56"/>
  <c r="G114" i="56"/>
  <c r="H128" i="56"/>
  <c r="O110" i="55"/>
  <c r="Z30" i="55" s="1"/>
  <c r="L116" i="55"/>
  <c r="L117" i="55"/>
  <c r="L118" i="55"/>
  <c r="L112" i="55"/>
  <c r="L114" i="55"/>
  <c r="L120" i="55"/>
  <c r="L115" i="55"/>
  <c r="L121" i="55"/>
  <c r="L119" i="55"/>
  <c r="L113" i="55"/>
  <c r="L110" i="55"/>
  <c r="L111" i="55"/>
  <c r="Q116" i="55"/>
  <c r="O116" i="55"/>
  <c r="Z36" i="55" s="1"/>
  <c r="Q115" i="55"/>
  <c r="O115" i="55"/>
  <c r="Z35" i="55" s="1"/>
  <c r="Q119" i="55"/>
  <c r="O119" i="55"/>
  <c r="Z39" i="55" s="1"/>
  <c r="Q118" i="55"/>
  <c r="O118" i="55"/>
  <c r="Z38" i="55" s="1"/>
  <c r="Q121" i="55"/>
  <c r="O121" i="55"/>
  <c r="Z41" i="55" s="1"/>
  <c r="Q120" i="55"/>
  <c r="O120" i="55"/>
  <c r="Z40" i="55" s="1"/>
  <c r="N122" i="55"/>
  <c r="Q111" i="55"/>
  <c r="O111" i="55"/>
  <c r="Z31" i="55" s="1"/>
  <c r="O114" i="55"/>
  <c r="Z34" i="55" s="1"/>
  <c r="Q114" i="55"/>
  <c r="Q113" i="55"/>
  <c r="O113" i="55"/>
  <c r="Z33" i="55" s="1"/>
  <c r="Q117" i="55"/>
  <c r="O117" i="55"/>
  <c r="Z37" i="55" s="1"/>
  <c r="Q112" i="55"/>
  <c r="O112" i="55"/>
  <c r="Z32" i="55" s="1"/>
  <c r="M122" i="55"/>
  <c r="AD112" i="57" l="1"/>
  <c r="BJ32" i="57" s="1"/>
  <c r="I25" i="59" s="1"/>
  <c r="AZ114" i="57"/>
  <c r="E139" i="57" s="1"/>
  <c r="AZ113" i="57"/>
  <c r="AZ122" i="57"/>
  <c r="E147" i="57" s="1"/>
  <c r="AD122" i="57"/>
  <c r="BJ42" i="57" s="1"/>
  <c r="I35" i="59" s="1"/>
  <c r="AD121" i="57"/>
  <c r="BJ41" i="57" s="1"/>
  <c r="I34" i="59" s="1"/>
  <c r="E144" i="57"/>
  <c r="AD119" i="57"/>
  <c r="BJ39" i="57" s="1"/>
  <c r="I32" i="59" s="1"/>
  <c r="AD113" i="57"/>
  <c r="BJ33" i="57" s="1"/>
  <c r="I26" i="59" s="1"/>
  <c r="AD114" i="57"/>
  <c r="BJ34" i="57" s="1"/>
  <c r="I27" i="59" s="1"/>
  <c r="Q123" i="57"/>
  <c r="E137" i="57"/>
  <c r="AD115" i="57"/>
  <c r="BJ35" i="57" s="1"/>
  <c r="I28" i="59" s="1"/>
  <c r="E143" i="57"/>
  <c r="AD116" i="57"/>
  <c r="BJ36" i="57" s="1"/>
  <c r="I29" i="59" s="1"/>
  <c r="AD120" i="57"/>
  <c r="BJ40" i="57" s="1"/>
  <c r="I33" i="59" s="1"/>
  <c r="AD117" i="57"/>
  <c r="BJ37" i="57" s="1"/>
  <c r="I30" i="59" s="1"/>
  <c r="AD111" i="57"/>
  <c r="BJ31" i="57" s="1"/>
  <c r="I24" i="59" s="1"/>
  <c r="AB123" i="57"/>
  <c r="L125" i="56"/>
  <c r="Z23" i="56"/>
  <c r="O122" i="55"/>
  <c r="E139" i="55"/>
  <c r="F139" i="55" s="1"/>
  <c r="E146" i="55"/>
  <c r="F146" i="55" s="1"/>
  <c r="E141" i="55"/>
  <c r="F141" i="55" s="1"/>
  <c r="E135" i="55"/>
  <c r="F135" i="55" s="1"/>
  <c r="G128" i="56"/>
  <c r="L114" i="56"/>
  <c r="H108" i="56"/>
  <c r="H107" i="56"/>
  <c r="H106" i="56"/>
  <c r="L118" i="56"/>
  <c r="L116" i="56"/>
  <c r="L124" i="56"/>
  <c r="L121" i="56"/>
  <c r="L123" i="56"/>
  <c r="L117" i="56"/>
  <c r="L120" i="56"/>
  <c r="L122" i="56"/>
  <c r="L119" i="56"/>
  <c r="L115" i="56"/>
  <c r="E145" i="55"/>
  <c r="F145" i="55" s="1"/>
  <c r="E143" i="55"/>
  <c r="F143" i="55" s="1"/>
  <c r="E137" i="55"/>
  <c r="F137" i="55" s="1"/>
  <c r="E138" i="55"/>
  <c r="F138" i="55" s="1"/>
  <c r="E136" i="55"/>
  <c r="F136" i="55" s="1"/>
  <c r="E142" i="55"/>
  <c r="F142" i="55" s="1"/>
  <c r="E140" i="55"/>
  <c r="F140" i="55" s="1"/>
  <c r="E144" i="55"/>
  <c r="F144" i="55" s="1"/>
  <c r="Q122" i="55"/>
  <c r="AZ123" i="57" l="1"/>
  <c r="E146" i="57"/>
  <c r="J146" i="57" s="1"/>
  <c r="E138" i="57"/>
  <c r="J138" i="57" s="1"/>
  <c r="F143" i="57"/>
  <c r="J143" i="57"/>
  <c r="E140" i="57"/>
  <c r="J139" i="57"/>
  <c r="F139" i="57"/>
  <c r="AD123" i="57"/>
  <c r="F147" i="57"/>
  <c r="J147" i="57"/>
  <c r="E141" i="57"/>
  <c r="E142" i="57"/>
  <c r="E145" i="57"/>
  <c r="F144" i="57"/>
  <c r="J144" i="57"/>
  <c r="J137" i="57"/>
  <c r="F137" i="57"/>
  <c r="E136" i="57"/>
  <c r="J135" i="55"/>
  <c r="H135" i="55"/>
  <c r="G135" i="55" s="1"/>
  <c r="J139" i="55"/>
  <c r="H146" i="55"/>
  <c r="H139" i="55"/>
  <c r="AA14" i="55" s="1"/>
  <c r="H138" i="55"/>
  <c r="AA13" i="55" s="1"/>
  <c r="H141" i="55"/>
  <c r="G141" i="55" s="1"/>
  <c r="H140" i="55"/>
  <c r="AA15" i="55" s="1"/>
  <c r="H142" i="55"/>
  <c r="G142" i="55" s="1"/>
  <c r="H136" i="55"/>
  <c r="AA11" i="55" s="1"/>
  <c r="H137" i="55"/>
  <c r="G137" i="55" s="1"/>
  <c r="H143" i="55"/>
  <c r="G143" i="55" s="1"/>
  <c r="C126" i="55"/>
  <c r="C127" i="55" s="1"/>
  <c r="C130" i="55" s="1"/>
  <c r="H145" i="55"/>
  <c r="G145" i="55" s="1"/>
  <c r="H144" i="55"/>
  <c r="G144" i="55" s="1"/>
  <c r="J141" i="55"/>
  <c r="J146" i="55"/>
  <c r="I107" i="56"/>
  <c r="J107" i="56" s="1"/>
  <c r="M122" i="56" s="1"/>
  <c r="I108" i="56"/>
  <c r="J108" i="56" s="1"/>
  <c r="I106" i="56"/>
  <c r="J106" i="56" s="1"/>
  <c r="M120" i="56" s="1"/>
  <c r="G146" i="55"/>
  <c r="AA21" i="55"/>
  <c r="G139" i="55"/>
  <c r="AA10" i="55"/>
  <c r="J144" i="55"/>
  <c r="J137" i="55"/>
  <c r="F147" i="55"/>
  <c r="J138" i="55"/>
  <c r="E147" i="55"/>
  <c r="J140" i="55"/>
  <c r="J142" i="55"/>
  <c r="J143" i="55"/>
  <c r="J136" i="55"/>
  <c r="J145" i="55"/>
  <c r="F146" i="57" l="1"/>
  <c r="F138" i="57"/>
  <c r="E148" i="57"/>
  <c r="F136" i="57"/>
  <c r="J136" i="57"/>
  <c r="J142" i="57"/>
  <c r="F142" i="57"/>
  <c r="H146" i="57"/>
  <c r="AH146" i="57" s="1"/>
  <c r="H137" i="57"/>
  <c r="AH137" i="57" s="1"/>
  <c r="H139" i="57"/>
  <c r="AH139" i="57" s="1"/>
  <c r="F141" i="57"/>
  <c r="J141" i="57"/>
  <c r="H144" i="57"/>
  <c r="AH144" i="57" s="1"/>
  <c r="H147" i="57"/>
  <c r="AH147" i="57" s="1"/>
  <c r="F140" i="57"/>
  <c r="J140" i="57"/>
  <c r="C127" i="57"/>
  <c r="C128" i="57" s="1"/>
  <c r="C131" i="57" s="1"/>
  <c r="F145" i="57"/>
  <c r="J145" i="57"/>
  <c r="H143" i="57"/>
  <c r="AH143" i="57" s="1"/>
  <c r="G138" i="55"/>
  <c r="M125" i="56"/>
  <c r="M118" i="56"/>
  <c r="AA16" i="55"/>
  <c r="AA17" i="55"/>
  <c r="AA18" i="55"/>
  <c r="AA12" i="55"/>
  <c r="AA19" i="55"/>
  <c r="G140" i="55"/>
  <c r="H148" i="55"/>
  <c r="K143" i="55" s="1"/>
  <c r="G136" i="55"/>
  <c r="AA20" i="55"/>
  <c r="H147" i="55"/>
  <c r="G147" i="55" s="1"/>
  <c r="O122" i="56"/>
  <c r="Z39" i="56" s="1"/>
  <c r="Q122" i="56"/>
  <c r="M121" i="56"/>
  <c r="M114" i="56"/>
  <c r="M123" i="56"/>
  <c r="M115" i="56"/>
  <c r="M119" i="56"/>
  <c r="M124" i="56"/>
  <c r="Q120" i="56"/>
  <c r="O120" i="56"/>
  <c r="Z37" i="56" s="1"/>
  <c r="O125" i="56"/>
  <c r="Z42" i="56" s="1"/>
  <c r="Q125" i="56"/>
  <c r="M116" i="56"/>
  <c r="M117" i="56"/>
  <c r="J147" i="55"/>
  <c r="J148" i="55"/>
  <c r="H138" i="57" l="1"/>
  <c r="AH138" i="57" s="1"/>
  <c r="O118" i="56"/>
  <c r="Z35" i="56" s="1"/>
  <c r="G147" i="57"/>
  <c r="BF22" i="57"/>
  <c r="J19" i="59" s="1"/>
  <c r="H141" i="57"/>
  <c r="AH141" i="57" s="1"/>
  <c r="BF21" i="57"/>
  <c r="J18" i="59" s="1"/>
  <c r="G146" i="57"/>
  <c r="H145" i="57"/>
  <c r="AH145" i="57" s="1"/>
  <c r="J149" i="57"/>
  <c r="G144" i="57"/>
  <c r="BF19" i="57"/>
  <c r="J16" i="59" s="1"/>
  <c r="H142" i="57"/>
  <c r="AH142" i="57" s="1"/>
  <c r="H140" i="57"/>
  <c r="AH140" i="57" s="1"/>
  <c r="BF14" i="57"/>
  <c r="J11" i="59" s="1"/>
  <c r="G139" i="57"/>
  <c r="J148" i="57"/>
  <c r="G137" i="57"/>
  <c r="BF12" i="57"/>
  <c r="J9" i="59" s="1"/>
  <c r="F148" i="57"/>
  <c r="S145" i="57" s="1"/>
  <c r="H136" i="57"/>
  <c r="AH136" i="57" s="1"/>
  <c r="BF18" i="57"/>
  <c r="J15" i="59" s="1"/>
  <c r="G143" i="57"/>
  <c r="Q118" i="56"/>
  <c r="F148" i="56"/>
  <c r="G148" i="55"/>
  <c r="L143" i="55" s="1"/>
  <c r="K137" i="55"/>
  <c r="M137" i="55" s="1"/>
  <c r="N137" i="55" s="1"/>
  <c r="AA22" i="55"/>
  <c r="K136" i="55"/>
  <c r="M136" i="55" s="1"/>
  <c r="N136" i="55" s="1"/>
  <c r="K146" i="55"/>
  <c r="M146" i="55" s="1"/>
  <c r="N146" i="55" s="1"/>
  <c r="K139" i="55"/>
  <c r="M139" i="55" s="1"/>
  <c r="N139" i="55" s="1"/>
  <c r="K135" i="55"/>
  <c r="M135" i="55" s="1"/>
  <c r="N135" i="55" s="1"/>
  <c r="K141" i="55"/>
  <c r="M141" i="55" s="1"/>
  <c r="N141" i="55" s="1"/>
  <c r="M143" i="55"/>
  <c r="N143" i="55" s="1"/>
  <c r="K138" i="55"/>
  <c r="M138" i="55" s="1"/>
  <c r="K142" i="55"/>
  <c r="M142" i="55" s="1"/>
  <c r="N142" i="55" s="1"/>
  <c r="K144" i="55"/>
  <c r="M144" i="55" s="1"/>
  <c r="N144" i="55" s="1"/>
  <c r="K140" i="55"/>
  <c r="M140" i="55" s="1"/>
  <c r="N140" i="55" s="1"/>
  <c r="K145" i="55"/>
  <c r="M145" i="55" s="1"/>
  <c r="N145" i="55" s="1"/>
  <c r="O123" i="56"/>
  <c r="Z40" i="56" s="1"/>
  <c r="Q119" i="56"/>
  <c r="Q115" i="56"/>
  <c r="Q114" i="56"/>
  <c r="Q121" i="56"/>
  <c r="Q124" i="56"/>
  <c r="O114" i="56"/>
  <c r="Z31" i="56" s="1"/>
  <c r="O121" i="56"/>
  <c r="Z38" i="56" s="1"/>
  <c r="Q123" i="56"/>
  <c r="O115" i="56"/>
  <c r="Z32" i="56" s="1"/>
  <c r="O119" i="56"/>
  <c r="Z36" i="56" s="1"/>
  <c r="O124" i="56"/>
  <c r="Z41" i="56" s="1"/>
  <c r="N123" i="56"/>
  <c r="N115" i="56"/>
  <c r="N120" i="56"/>
  <c r="M127" i="56"/>
  <c r="N125" i="56"/>
  <c r="N118" i="56"/>
  <c r="N122" i="56"/>
  <c r="F146" i="56"/>
  <c r="N119" i="56"/>
  <c r="N114" i="56"/>
  <c r="N121" i="56"/>
  <c r="N124" i="56"/>
  <c r="F149" i="56"/>
  <c r="E148" i="56"/>
  <c r="K148" i="56"/>
  <c r="F151" i="56"/>
  <c r="O117" i="56"/>
  <c r="Z34" i="56" s="1"/>
  <c r="Q117" i="56"/>
  <c r="N117" i="56"/>
  <c r="F144" i="56"/>
  <c r="Q116" i="56"/>
  <c r="N116" i="56"/>
  <c r="O116" i="56"/>
  <c r="Z33" i="56" s="1"/>
  <c r="G138" i="57" l="1"/>
  <c r="BF13" i="57"/>
  <c r="J10" i="59" s="1"/>
  <c r="F145" i="56"/>
  <c r="F150" i="56"/>
  <c r="F140" i="56"/>
  <c r="E140" i="56" s="1"/>
  <c r="S136" i="57"/>
  <c r="U136" i="57" s="1"/>
  <c r="S141" i="57"/>
  <c r="U141" i="57" s="1"/>
  <c r="S140" i="57"/>
  <c r="U140" i="57" s="1"/>
  <c r="G140" i="57"/>
  <c r="BF15" i="57"/>
  <c r="J12" i="59" s="1"/>
  <c r="BF16" i="57"/>
  <c r="J13" i="59" s="1"/>
  <c r="G141" i="57"/>
  <c r="BF11" i="57"/>
  <c r="J8" i="59" s="1"/>
  <c r="G136" i="57"/>
  <c r="H149" i="57"/>
  <c r="O142" i="57" s="1"/>
  <c r="U145" i="57"/>
  <c r="H148" i="57"/>
  <c r="AH148" i="57" s="1"/>
  <c r="S147" i="57"/>
  <c r="U147" i="57" s="1"/>
  <c r="S143" i="57"/>
  <c r="U143" i="57" s="1"/>
  <c r="S137" i="57"/>
  <c r="U137" i="57" s="1"/>
  <c r="S138" i="57"/>
  <c r="U138" i="57" s="1"/>
  <c r="S139" i="57"/>
  <c r="U139" i="57" s="1"/>
  <c r="S144" i="57"/>
  <c r="U144" i="57" s="1"/>
  <c r="S146" i="57"/>
  <c r="U146" i="57" s="1"/>
  <c r="S142" i="57"/>
  <c r="U142" i="57" s="1"/>
  <c r="BF20" i="57"/>
  <c r="J17" i="59" s="1"/>
  <c r="G145" i="57"/>
  <c r="BF17" i="57"/>
  <c r="J14" i="59" s="1"/>
  <c r="G142" i="57"/>
  <c r="L141" i="55"/>
  <c r="L137" i="55"/>
  <c r="L144" i="55"/>
  <c r="L138" i="55"/>
  <c r="L142" i="55"/>
  <c r="L135" i="55"/>
  <c r="L139" i="55"/>
  <c r="L140" i="55"/>
  <c r="O143" i="55"/>
  <c r="AA38" i="55" s="1"/>
  <c r="L146" i="55"/>
  <c r="L145" i="55"/>
  <c r="L136" i="55"/>
  <c r="F147" i="56"/>
  <c r="Q143" i="55"/>
  <c r="H148" i="56"/>
  <c r="G148" i="56" s="1"/>
  <c r="F141" i="56"/>
  <c r="E141" i="56" s="1"/>
  <c r="K140" i="56"/>
  <c r="K151" i="56"/>
  <c r="E151" i="56"/>
  <c r="E145" i="56"/>
  <c r="K145" i="56"/>
  <c r="E147" i="56"/>
  <c r="K147" i="56"/>
  <c r="F142" i="56"/>
  <c r="E149" i="56"/>
  <c r="K149" i="56"/>
  <c r="E144" i="56"/>
  <c r="K144" i="56"/>
  <c r="E146" i="56"/>
  <c r="K146" i="56"/>
  <c r="E150" i="56"/>
  <c r="K150" i="56"/>
  <c r="F143" i="56"/>
  <c r="Q127" i="56"/>
  <c r="Q140" i="55"/>
  <c r="Q139" i="55"/>
  <c r="O141" i="55"/>
  <c r="AA36" i="55" s="1"/>
  <c r="O137" i="55"/>
  <c r="AA32" i="55" s="1"/>
  <c r="O136" i="55"/>
  <c r="AA31" i="55" s="1"/>
  <c r="O144" i="55"/>
  <c r="AA39" i="55" s="1"/>
  <c r="Q145" i="55"/>
  <c r="O146" i="55"/>
  <c r="AA41" i="55" s="1"/>
  <c r="O142" i="55"/>
  <c r="AA37" i="55" s="1"/>
  <c r="M147" i="55"/>
  <c r="Q142" i="55"/>
  <c r="N138" i="55"/>
  <c r="Q136" i="55"/>
  <c r="O139" i="55"/>
  <c r="AA34" i="55" s="1"/>
  <c r="Q146" i="55"/>
  <c r="Q144" i="55"/>
  <c r="Q141" i="55"/>
  <c r="Q137" i="55"/>
  <c r="O140" i="55"/>
  <c r="AA35" i="55" s="1"/>
  <c r="O145" i="55"/>
  <c r="AA40" i="55" s="1"/>
  <c r="Q135" i="55"/>
  <c r="O135" i="55"/>
  <c r="AA30" i="55" s="1"/>
  <c r="U148" i="57" l="1"/>
  <c r="BF23" i="57"/>
  <c r="J20" i="59" s="1"/>
  <c r="G148" i="57"/>
  <c r="O136" i="57"/>
  <c r="O146" i="57"/>
  <c r="O139" i="57"/>
  <c r="O137" i="57"/>
  <c r="O147" i="57"/>
  <c r="O138" i="57"/>
  <c r="O143" i="57"/>
  <c r="O144" i="57"/>
  <c r="G149" i="57"/>
  <c r="P145" i="57" s="1"/>
  <c r="O145" i="57"/>
  <c r="O141" i="57"/>
  <c r="O140" i="57"/>
  <c r="K141" i="56"/>
  <c r="E168" i="55"/>
  <c r="F168" i="55" s="1"/>
  <c r="AA19" i="56"/>
  <c r="I148" i="56"/>
  <c r="E170" i="55"/>
  <c r="F170" i="55" s="1"/>
  <c r="E171" i="55"/>
  <c r="F171" i="55" s="1"/>
  <c r="E169" i="55"/>
  <c r="F169" i="55" s="1"/>
  <c r="E161" i="55"/>
  <c r="F161" i="55" s="1"/>
  <c r="E160" i="55"/>
  <c r="F160" i="55" s="1"/>
  <c r="Q138" i="55"/>
  <c r="E167" i="55"/>
  <c r="F167" i="55" s="1"/>
  <c r="E164" i="55"/>
  <c r="F164" i="55" s="1"/>
  <c r="E165" i="55"/>
  <c r="F165" i="55" s="1"/>
  <c r="H149" i="56"/>
  <c r="I149" i="56" s="1"/>
  <c r="H147" i="56"/>
  <c r="I147" i="56" s="1"/>
  <c r="H141" i="56"/>
  <c r="G141" i="56" s="1"/>
  <c r="H146" i="56"/>
  <c r="I146" i="56" s="1"/>
  <c r="H151" i="56"/>
  <c r="I151" i="56" s="1"/>
  <c r="H145" i="56"/>
  <c r="G145" i="56" s="1"/>
  <c r="H144" i="56"/>
  <c r="AA15" i="56" s="1"/>
  <c r="H150" i="56"/>
  <c r="I150" i="56" s="1"/>
  <c r="K143" i="56"/>
  <c r="E143" i="56"/>
  <c r="K142" i="56"/>
  <c r="E142" i="56"/>
  <c r="F153" i="56"/>
  <c r="H140" i="56"/>
  <c r="O138" i="55"/>
  <c r="AA33" i="55" s="1"/>
  <c r="N147" i="55"/>
  <c r="E162" i="55"/>
  <c r="F162" i="55" s="1"/>
  <c r="E166" i="55"/>
  <c r="F166" i="55" s="1"/>
  <c r="Q145" i="57" l="1"/>
  <c r="AB145" i="57" s="1"/>
  <c r="AZ145" i="57" s="1"/>
  <c r="P136" i="57"/>
  <c r="Q136" i="57" s="1"/>
  <c r="P143" i="57"/>
  <c r="Q143" i="57" s="1"/>
  <c r="AB143" i="57" s="1"/>
  <c r="AZ143" i="57" s="1"/>
  <c r="P139" i="57"/>
  <c r="Q139" i="57" s="1"/>
  <c r="AB139" i="57" s="1"/>
  <c r="AZ139" i="57" s="1"/>
  <c r="P144" i="57"/>
  <c r="Q144" i="57" s="1"/>
  <c r="AB144" i="57" s="1"/>
  <c r="AZ144" i="57" s="1"/>
  <c r="P146" i="57"/>
  <c r="Q146" i="57" s="1"/>
  <c r="AB146" i="57" s="1"/>
  <c r="AZ146" i="57" s="1"/>
  <c r="P137" i="57"/>
  <c r="Q137" i="57" s="1"/>
  <c r="AB137" i="57" s="1"/>
  <c r="AZ137" i="57" s="1"/>
  <c r="P138" i="57"/>
  <c r="Q138" i="57" s="1"/>
  <c r="AB138" i="57" s="1"/>
  <c r="AZ138" i="57" s="1"/>
  <c r="P147" i="57"/>
  <c r="Q147" i="57" s="1"/>
  <c r="AB147" i="57" s="1"/>
  <c r="AZ147" i="57" s="1"/>
  <c r="P141" i="57"/>
  <c r="Q141" i="57" s="1"/>
  <c r="AB141" i="57" s="1"/>
  <c r="AZ141" i="57" s="1"/>
  <c r="P142" i="57"/>
  <c r="Q142" i="57" s="1"/>
  <c r="AB142" i="57" s="1"/>
  <c r="AZ142" i="57" s="1"/>
  <c r="P140" i="57"/>
  <c r="Q140" i="57" s="1"/>
  <c r="AB140" i="57" s="1"/>
  <c r="AZ140" i="57" s="1"/>
  <c r="I141" i="56"/>
  <c r="AA12" i="56"/>
  <c r="G144" i="56"/>
  <c r="G147" i="56"/>
  <c r="J170" i="55"/>
  <c r="H160" i="55"/>
  <c r="G160" i="55" s="1"/>
  <c r="J168" i="55"/>
  <c r="J167" i="55"/>
  <c r="G149" i="56"/>
  <c r="AA22" i="56"/>
  <c r="G151" i="56"/>
  <c r="I144" i="56"/>
  <c r="H165" i="55"/>
  <c r="AB15" i="55" s="1"/>
  <c r="J171" i="55"/>
  <c r="J165" i="55"/>
  <c r="E163" i="55"/>
  <c r="F163" i="55" s="1"/>
  <c r="H163" i="55" s="1"/>
  <c r="G163" i="55" s="1"/>
  <c r="H170" i="55"/>
  <c r="G170" i="55" s="1"/>
  <c r="H168" i="55"/>
  <c r="I145" i="56"/>
  <c r="AA20" i="56"/>
  <c r="AA18" i="56"/>
  <c r="AA16" i="56"/>
  <c r="H171" i="55"/>
  <c r="G171" i="55" s="1"/>
  <c r="Q147" i="55"/>
  <c r="J169" i="55"/>
  <c r="H167" i="55"/>
  <c r="G167" i="55" s="1"/>
  <c r="J164" i="55"/>
  <c r="H164" i="55"/>
  <c r="G164" i="55" s="1"/>
  <c r="H169" i="55"/>
  <c r="G169" i="55" s="1"/>
  <c r="H161" i="55"/>
  <c r="G161" i="55" s="1"/>
  <c r="H166" i="55"/>
  <c r="G166" i="55" s="1"/>
  <c r="O147" i="55"/>
  <c r="J161" i="55"/>
  <c r="G146" i="56"/>
  <c r="H142" i="56"/>
  <c r="G142" i="56" s="1"/>
  <c r="G150" i="56"/>
  <c r="AA17" i="56"/>
  <c r="AA21" i="56"/>
  <c r="H143" i="56"/>
  <c r="K153" i="56"/>
  <c r="AA11" i="56"/>
  <c r="G140" i="56"/>
  <c r="I140" i="56"/>
  <c r="E153" i="56"/>
  <c r="J162" i="55"/>
  <c r="J166" i="55"/>
  <c r="H162" i="55"/>
  <c r="E172" i="55"/>
  <c r="J160" i="55"/>
  <c r="J163" i="55" l="1"/>
  <c r="AB10" i="55"/>
  <c r="AD144" i="57"/>
  <c r="BK39" i="57" s="1"/>
  <c r="J32" i="59" s="1"/>
  <c r="AD146" i="57"/>
  <c r="BK41" i="57" s="1"/>
  <c r="J34" i="59" s="1"/>
  <c r="AD140" i="57"/>
  <c r="BK35" i="57" s="1"/>
  <c r="J28" i="59" s="1"/>
  <c r="AD139" i="57"/>
  <c r="BK34" i="57" s="1"/>
  <c r="J27" i="59" s="1"/>
  <c r="AD143" i="57"/>
  <c r="BK38" i="57" s="1"/>
  <c r="J31" i="59" s="1"/>
  <c r="Q148" i="57"/>
  <c r="AB136" i="57"/>
  <c r="AZ136" i="57" s="1"/>
  <c r="AZ148" i="57" s="1"/>
  <c r="AD141" i="57"/>
  <c r="BK36" i="57" s="1"/>
  <c r="J29" i="59" s="1"/>
  <c r="AD147" i="57"/>
  <c r="BK42" i="57" s="1"/>
  <c r="J35" i="59" s="1"/>
  <c r="AD145" i="57"/>
  <c r="BK40" i="57" s="1"/>
  <c r="J33" i="59" s="1"/>
  <c r="AD142" i="57"/>
  <c r="BK37" i="57" s="1"/>
  <c r="J30" i="59" s="1"/>
  <c r="AD137" i="57"/>
  <c r="BK32" i="57" s="1"/>
  <c r="J25" i="59" s="1"/>
  <c r="AD138" i="57"/>
  <c r="BK33" i="57" s="1"/>
  <c r="J26" i="59" s="1"/>
  <c r="G165" i="55"/>
  <c r="I142" i="56"/>
  <c r="G168" i="55"/>
  <c r="AB18" i="55"/>
  <c r="AB17" i="55"/>
  <c r="AB20" i="55"/>
  <c r="F172" i="55"/>
  <c r="C151" i="55"/>
  <c r="C152" i="55" s="1"/>
  <c r="C155" i="55" s="1"/>
  <c r="J173" i="55" s="1"/>
  <c r="AB21" i="55"/>
  <c r="AA13" i="56"/>
  <c r="H154" i="56"/>
  <c r="AB16" i="55"/>
  <c r="AB11" i="55"/>
  <c r="AB14" i="55"/>
  <c r="AB19" i="55"/>
  <c r="AB13" i="55"/>
  <c r="AA14" i="56"/>
  <c r="I143" i="56"/>
  <c r="H132" i="56" s="1"/>
  <c r="G143" i="56"/>
  <c r="G154" i="56" s="1"/>
  <c r="H153" i="56"/>
  <c r="G153" i="56" s="1"/>
  <c r="L148" i="56"/>
  <c r="L151" i="56"/>
  <c r="L141" i="56"/>
  <c r="L144" i="56"/>
  <c r="G162" i="55"/>
  <c r="AB12" i="55"/>
  <c r="H173" i="55"/>
  <c r="K160" i="55" s="1"/>
  <c r="J172" i="55"/>
  <c r="L143" i="56" l="1"/>
  <c r="L142" i="56"/>
  <c r="L150" i="56"/>
  <c r="L147" i="56"/>
  <c r="L146" i="56"/>
  <c r="L140" i="56"/>
  <c r="L145" i="56"/>
  <c r="G173" i="55"/>
  <c r="L162" i="55" s="1"/>
  <c r="E166" i="57"/>
  <c r="E165" i="57"/>
  <c r="E162" i="57"/>
  <c r="E172" i="57"/>
  <c r="E168" i="57"/>
  <c r="E171" i="57"/>
  <c r="E167" i="57"/>
  <c r="E164" i="57"/>
  <c r="E163" i="57"/>
  <c r="E169" i="57"/>
  <c r="E170" i="57"/>
  <c r="AB148" i="57"/>
  <c r="AD136" i="57"/>
  <c r="BK31" i="57" s="1"/>
  <c r="J24" i="59" s="1"/>
  <c r="AA23" i="56"/>
  <c r="H134" i="56"/>
  <c r="L149" i="56"/>
  <c r="H133" i="56"/>
  <c r="I133" i="56" s="1"/>
  <c r="J133" i="56" s="1"/>
  <c r="H172" i="55"/>
  <c r="AB22" i="55" s="1"/>
  <c r="I132" i="56"/>
  <c r="J132" i="56" s="1"/>
  <c r="L170" i="55"/>
  <c r="L169" i="55"/>
  <c r="L171" i="55"/>
  <c r="L166" i="55"/>
  <c r="L163" i="55"/>
  <c r="L167" i="55"/>
  <c r="L164" i="55"/>
  <c r="L161" i="55"/>
  <c r="L165" i="55"/>
  <c r="L168" i="55"/>
  <c r="L160" i="55"/>
  <c r="M160" i="55"/>
  <c r="N160" i="55" s="1"/>
  <c r="K168" i="55"/>
  <c r="M168" i="55" s="1"/>
  <c r="K170" i="55"/>
  <c r="M170" i="55" s="1"/>
  <c r="K163" i="55"/>
  <c r="K171" i="55"/>
  <c r="M171" i="55" s="1"/>
  <c r="K162" i="55"/>
  <c r="M162" i="55" s="1"/>
  <c r="K165" i="55"/>
  <c r="M165" i="55" s="1"/>
  <c r="K167" i="55"/>
  <c r="M167" i="55" s="1"/>
  <c r="K169" i="55"/>
  <c r="M169" i="55" s="1"/>
  <c r="K161" i="55"/>
  <c r="M161" i="55" s="1"/>
  <c r="K166" i="55"/>
  <c r="M166" i="55" s="1"/>
  <c r="K164" i="55"/>
  <c r="M164" i="55" s="1"/>
  <c r="I134" i="56" l="1"/>
  <c r="J134" i="56" s="1"/>
  <c r="G172" i="55"/>
  <c r="J172" i="57"/>
  <c r="F172" i="57"/>
  <c r="F167" i="57"/>
  <c r="J167" i="57"/>
  <c r="E161" i="57"/>
  <c r="J164" i="57"/>
  <c r="F164" i="57"/>
  <c r="J169" i="57"/>
  <c r="F169" i="57"/>
  <c r="F171" i="57"/>
  <c r="J171" i="57"/>
  <c r="F165" i="57"/>
  <c r="J165" i="57"/>
  <c r="J162" i="57"/>
  <c r="F162" i="57"/>
  <c r="J170" i="57"/>
  <c r="F170" i="57"/>
  <c r="AD148" i="57"/>
  <c r="F163" i="57"/>
  <c r="J163" i="57"/>
  <c r="J168" i="57"/>
  <c r="F168" i="57"/>
  <c r="F166" i="57"/>
  <c r="J166" i="57"/>
  <c r="M140" i="56"/>
  <c r="M144" i="56"/>
  <c r="M146" i="56"/>
  <c r="M150" i="56"/>
  <c r="M149" i="56"/>
  <c r="M141" i="56"/>
  <c r="M148" i="56"/>
  <c r="M143" i="56"/>
  <c r="M142" i="56"/>
  <c r="M151" i="56"/>
  <c r="M147" i="56"/>
  <c r="M145" i="56"/>
  <c r="O160" i="55"/>
  <c r="AB30" i="55" s="1"/>
  <c r="M163" i="55"/>
  <c r="N163" i="55" s="1"/>
  <c r="N165" i="55"/>
  <c r="N162" i="55"/>
  <c r="N171" i="55"/>
  <c r="N164" i="55"/>
  <c r="N170" i="55"/>
  <c r="N161" i="55"/>
  <c r="N169" i="55"/>
  <c r="N168" i="55"/>
  <c r="N166" i="55"/>
  <c r="N167" i="55"/>
  <c r="Q160" i="55"/>
  <c r="J161" i="57" l="1"/>
  <c r="J173" i="57" s="1"/>
  <c r="E173" i="57"/>
  <c r="F161" i="57"/>
  <c r="H171" i="57"/>
  <c r="AH171" i="57" s="1"/>
  <c r="H170" i="57"/>
  <c r="AH170" i="57" s="1"/>
  <c r="H169" i="57"/>
  <c r="AH169" i="57" s="1"/>
  <c r="H167" i="57"/>
  <c r="AH167" i="57" s="1"/>
  <c r="H163" i="57"/>
  <c r="AH163" i="57" s="1"/>
  <c r="H165" i="57"/>
  <c r="AH165" i="57" s="1"/>
  <c r="C152" i="57"/>
  <c r="C153" i="57" s="1"/>
  <c r="C156" i="57" s="1"/>
  <c r="H166" i="57"/>
  <c r="AH166" i="57" s="1"/>
  <c r="H172" i="57"/>
  <c r="AH172" i="57" s="1"/>
  <c r="H168" i="57"/>
  <c r="AH168" i="57" s="1"/>
  <c r="H162" i="57"/>
  <c r="AH162" i="57" s="1"/>
  <c r="H164" i="57"/>
  <c r="AH164" i="57" s="1"/>
  <c r="O140" i="56"/>
  <c r="AA31" i="56" s="1"/>
  <c r="Q140" i="56"/>
  <c r="Q144" i="56"/>
  <c r="O144" i="56"/>
  <c r="AA35" i="56" s="1"/>
  <c r="E185" i="55"/>
  <c r="F185" i="55" s="1"/>
  <c r="Q148" i="56"/>
  <c r="O141" i="56"/>
  <c r="AA32" i="56" s="1"/>
  <c r="O149" i="56"/>
  <c r="AA40" i="56" s="1"/>
  <c r="O150" i="56"/>
  <c r="AA41" i="56" s="1"/>
  <c r="Q146" i="56"/>
  <c r="F172" i="56" s="1"/>
  <c r="K172" i="56" s="1"/>
  <c r="O146" i="56"/>
  <c r="AA37" i="56" s="1"/>
  <c r="Q150" i="56"/>
  <c r="O148" i="56"/>
  <c r="AA39" i="56" s="1"/>
  <c r="Q149" i="56"/>
  <c r="N141" i="56"/>
  <c r="Q141" i="56"/>
  <c r="O142" i="56"/>
  <c r="AA33" i="56" s="1"/>
  <c r="N142" i="56"/>
  <c r="Q142" i="56"/>
  <c r="N149" i="56"/>
  <c r="Q143" i="56"/>
  <c r="O143" i="56"/>
  <c r="AA34" i="56" s="1"/>
  <c r="N143" i="56"/>
  <c r="N144" i="56"/>
  <c r="N140" i="56"/>
  <c r="O151" i="56"/>
  <c r="AA42" i="56" s="1"/>
  <c r="N151" i="56"/>
  <c r="Q151" i="56"/>
  <c r="Q145" i="56"/>
  <c r="N145" i="56"/>
  <c r="O145" i="56"/>
  <c r="AA36" i="56" s="1"/>
  <c r="M153" i="56"/>
  <c r="N148" i="56"/>
  <c r="O147" i="56"/>
  <c r="AA38" i="56" s="1"/>
  <c r="Q147" i="56"/>
  <c r="N147" i="56"/>
  <c r="F166" i="56"/>
  <c r="N146" i="56"/>
  <c r="N150" i="56"/>
  <c r="Q164" i="55"/>
  <c r="O171" i="55"/>
  <c r="AB41" i="55" s="1"/>
  <c r="Q167" i="55"/>
  <c r="O162" i="55"/>
  <c r="AB32" i="55" s="1"/>
  <c r="Q166" i="55"/>
  <c r="O165" i="55"/>
  <c r="AB35" i="55" s="1"/>
  <c r="Q168" i="55"/>
  <c r="O169" i="55"/>
  <c r="AB39" i="55" s="1"/>
  <c r="O161" i="55"/>
  <c r="AB31" i="55" s="1"/>
  <c r="O170" i="55"/>
  <c r="AB40" i="55" s="1"/>
  <c r="Q165" i="55"/>
  <c r="M172" i="55"/>
  <c r="Q163" i="55"/>
  <c r="O163" i="55"/>
  <c r="AB33" i="55" s="1"/>
  <c r="Q162" i="55"/>
  <c r="O168" i="55"/>
  <c r="AB38" i="55" s="1"/>
  <c r="Q169" i="55"/>
  <c r="Q171" i="55"/>
  <c r="O166" i="55"/>
  <c r="AB36" i="55" s="1"/>
  <c r="O164" i="55"/>
  <c r="AB34" i="55" s="1"/>
  <c r="Q170" i="55"/>
  <c r="Q161" i="55"/>
  <c r="N172" i="55"/>
  <c r="O167" i="55"/>
  <c r="AB37" i="55" s="1"/>
  <c r="J174" i="57" l="1"/>
  <c r="F170" i="56"/>
  <c r="J185" i="55"/>
  <c r="H185" i="55"/>
  <c r="G168" i="57"/>
  <c r="BG18" i="57"/>
  <c r="K15" i="59" s="1"/>
  <c r="G170" i="57"/>
  <c r="BG20" i="57"/>
  <c r="K17" i="59" s="1"/>
  <c r="G167" i="57"/>
  <c r="BG17" i="57"/>
  <c r="K14" i="59" s="1"/>
  <c r="G169" i="57"/>
  <c r="BG19" i="57"/>
  <c r="K16" i="59" s="1"/>
  <c r="F173" i="57"/>
  <c r="S161" i="57" s="1"/>
  <c r="H161" i="57"/>
  <c r="AH161" i="57" s="1"/>
  <c r="G166" i="57"/>
  <c r="BG16" i="57"/>
  <c r="K13" i="59" s="1"/>
  <c r="BG13" i="57"/>
  <c r="K10" i="59" s="1"/>
  <c r="G163" i="57"/>
  <c r="G164" i="57"/>
  <c r="BG14" i="57"/>
  <c r="K11" i="59" s="1"/>
  <c r="G172" i="57"/>
  <c r="BG22" i="57"/>
  <c r="K19" i="59" s="1"/>
  <c r="G165" i="57"/>
  <c r="BG15" i="57"/>
  <c r="K12" i="59" s="1"/>
  <c r="G171" i="57"/>
  <c r="BG21" i="57"/>
  <c r="K18" i="59" s="1"/>
  <c r="G162" i="57"/>
  <c r="BG12" i="57"/>
  <c r="K9" i="59" s="1"/>
  <c r="F174" i="56"/>
  <c r="E174" i="56" s="1"/>
  <c r="E189" i="55"/>
  <c r="F189" i="55" s="1"/>
  <c r="O172" i="55"/>
  <c r="E187" i="55"/>
  <c r="F187" i="55" s="1"/>
  <c r="E186" i="55"/>
  <c r="F186" i="55" s="1"/>
  <c r="E193" i="55"/>
  <c r="F193" i="55" s="1"/>
  <c r="E192" i="55"/>
  <c r="F192" i="55" s="1"/>
  <c r="E190" i="55"/>
  <c r="F190" i="55" s="1"/>
  <c r="E191" i="55"/>
  <c r="F191" i="55" s="1"/>
  <c r="E172" i="56"/>
  <c r="F167" i="56"/>
  <c r="E167" i="56" s="1"/>
  <c r="F176" i="56"/>
  <c r="K176" i="56" s="1"/>
  <c r="F175" i="56"/>
  <c r="K175" i="56" s="1"/>
  <c r="F171" i="56"/>
  <c r="F173" i="56"/>
  <c r="F177" i="56"/>
  <c r="F168" i="56"/>
  <c r="K167" i="56"/>
  <c r="E166" i="56"/>
  <c r="K166" i="56"/>
  <c r="F169" i="56"/>
  <c r="K170" i="56"/>
  <c r="E170" i="56"/>
  <c r="Q153" i="56"/>
  <c r="G185" i="55"/>
  <c r="AC10" i="55"/>
  <c r="E194" i="55"/>
  <c r="F194" i="55" s="1"/>
  <c r="E188" i="55"/>
  <c r="F188" i="55" s="1"/>
  <c r="E195" i="55"/>
  <c r="F195" i="55" s="1"/>
  <c r="E196" i="55"/>
  <c r="F196" i="55" s="1"/>
  <c r="Q172" i="55"/>
  <c r="U161" i="57" l="1"/>
  <c r="K174" i="56"/>
  <c r="E175" i="56"/>
  <c r="H193" i="55"/>
  <c r="H192" i="55"/>
  <c r="H189" i="55"/>
  <c r="G161" i="57"/>
  <c r="G174" i="57" s="1"/>
  <c r="P161" i="57" s="1"/>
  <c r="BG11" i="57"/>
  <c r="K8" i="59" s="1"/>
  <c r="H174" i="57"/>
  <c r="O161" i="57" s="1"/>
  <c r="H173" i="57"/>
  <c r="AH173" i="57" s="1"/>
  <c r="S170" i="57"/>
  <c r="U170" i="57" s="1"/>
  <c r="S168" i="57"/>
  <c r="U168" i="57" s="1"/>
  <c r="S163" i="57"/>
  <c r="U163" i="57" s="1"/>
  <c r="S162" i="57"/>
  <c r="U162" i="57" s="1"/>
  <c r="S171" i="57"/>
  <c r="U171" i="57" s="1"/>
  <c r="S169" i="57"/>
  <c r="U169" i="57" s="1"/>
  <c r="S172" i="57"/>
  <c r="U172" i="57" s="1"/>
  <c r="S166" i="57"/>
  <c r="U166" i="57" s="1"/>
  <c r="S167" i="57"/>
  <c r="U167" i="57" s="1"/>
  <c r="S164" i="57"/>
  <c r="U164" i="57" s="1"/>
  <c r="S165" i="57"/>
  <c r="U165" i="57" s="1"/>
  <c r="J193" i="55"/>
  <c r="J189" i="55"/>
  <c r="J190" i="55"/>
  <c r="H191" i="55"/>
  <c r="G191" i="55" s="1"/>
  <c r="H190" i="55"/>
  <c r="G190" i="55" s="1"/>
  <c r="H187" i="55"/>
  <c r="AC12" i="55" s="1"/>
  <c r="J192" i="55"/>
  <c r="H196" i="55"/>
  <c r="G196" i="55" s="1"/>
  <c r="C176" i="55"/>
  <c r="C177" i="55" s="1"/>
  <c r="C180" i="55" s="1"/>
  <c r="H195" i="55"/>
  <c r="G195" i="55" s="1"/>
  <c r="H186" i="55"/>
  <c r="G186" i="55" s="1"/>
  <c r="H188" i="55"/>
  <c r="G188" i="55" s="1"/>
  <c r="H194" i="55"/>
  <c r="G194" i="55" s="1"/>
  <c r="J186" i="55"/>
  <c r="J187" i="55"/>
  <c r="J191" i="55"/>
  <c r="H174" i="56"/>
  <c r="G174" i="56" s="1"/>
  <c r="H175" i="56"/>
  <c r="AB20" i="56" s="1"/>
  <c r="H170" i="56"/>
  <c r="I170" i="56" s="1"/>
  <c r="H167" i="56"/>
  <c r="G167" i="56" s="1"/>
  <c r="E176" i="56"/>
  <c r="H172" i="56"/>
  <c r="K171" i="56"/>
  <c r="E171" i="56"/>
  <c r="E177" i="56"/>
  <c r="K177" i="56"/>
  <c r="K169" i="56"/>
  <c r="E169" i="56"/>
  <c r="F179" i="56"/>
  <c r="H166" i="56"/>
  <c r="E173" i="56"/>
  <c r="K173" i="56"/>
  <c r="K168" i="56"/>
  <c r="E168" i="56"/>
  <c r="G192" i="55"/>
  <c r="AC17" i="55"/>
  <c r="G193" i="55"/>
  <c r="AC18" i="55"/>
  <c r="G189" i="55"/>
  <c r="AC14" i="55"/>
  <c r="J196" i="55"/>
  <c r="F197" i="55"/>
  <c r="J188" i="55"/>
  <c r="J194" i="55"/>
  <c r="J195" i="55"/>
  <c r="E197" i="55"/>
  <c r="Q161" i="57" l="1"/>
  <c r="AB161" i="57" s="1"/>
  <c r="AZ161" i="57" s="1"/>
  <c r="P163" i="57"/>
  <c r="P164" i="57"/>
  <c r="P169" i="57"/>
  <c r="P168" i="57"/>
  <c r="P166" i="57"/>
  <c r="P172" i="57"/>
  <c r="P170" i="57"/>
  <c r="P167" i="57"/>
  <c r="AC16" i="55"/>
  <c r="U173" i="57"/>
  <c r="O167" i="57"/>
  <c r="O164" i="57"/>
  <c r="O171" i="57"/>
  <c r="O168" i="57"/>
  <c r="O166" i="57"/>
  <c r="O169" i="57"/>
  <c r="O172" i="57"/>
  <c r="O165" i="57"/>
  <c r="O162" i="57"/>
  <c r="O170" i="57"/>
  <c r="O163" i="57"/>
  <c r="P162" i="57"/>
  <c r="P165" i="57"/>
  <c r="BG23" i="57"/>
  <c r="K20" i="59" s="1"/>
  <c r="G173" i="57"/>
  <c r="P171" i="57"/>
  <c r="AC20" i="55"/>
  <c r="G175" i="56"/>
  <c r="AB15" i="56"/>
  <c r="I174" i="56"/>
  <c r="G170" i="56"/>
  <c r="AB19" i="56"/>
  <c r="G187" i="55"/>
  <c r="G198" i="55" s="1"/>
  <c r="L194" i="55" s="1"/>
  <c r="AC15" i="55"/>
  <c r="AC19" i="55"/>
  <c r="AC21" i="55"/>
  <c r="AC11" i="55"/>
  <c r="H197" i="55"/>
  <c r="AC22" i="55" s="1"/>
  <c r="H198" i="55"/>
  <c r="K185" i="55" s="1"/>
  <c r="AC13" i="55"/>
  <c r="H173" i="56"/>
  <c r="AB18" i="56" s="1"/>
  <c r="H171" i="56"/>
  <c r="AB16" i="56" s="1"/>
  <c r="H168" i="56"/>
  <c r="AB13" i="56" s="1"/>
  <c r="I175" i="56"/>
  <c r="H177" i="56"/>
  <c r="G177" i="56" s="1"/>
  <c r="H169" i="56"/>
  <c r="AB14" i="56" s="1"/>
  <c r="I167" i="56"/>
  <c r="AB12" i="56"/>
  <c r="AB17" i="56"/>
  <c r="I172" i="56"/>
  <c r="G172" i="56"/>
  <c r="H176" i="56"/>
  <c r="K179" i="56"/>
  <c r="E179" i="56"/>
  <c r="I168" i="56"/>
  <c r="G166" i="56"/>
  <c r="I166" i="56"/>
  <c r="AB11" i="56"/>
  <c r="J198" i="55"/>
  <c r="J197" i="55"/>
  <c r="Q163" i="57" l="1"/>
  <c r="AB163" i="57" s="1"/>
  <c r="AZ163" i="57" s="1"/>
  <c r="Q168" i="57"/>
  <c r="AB168" i="57" s="1"/>
  <c r="AZ168" i="57" s="1"/>
  <c r="Q166" i="57"/>
  <c r="AB166" i="57" s="1"/>
  <c r="AZ166" i="57" s="1"/>
  <c r="Q164" i="57"/>
  <c r="AB164" i="57" s="1"/>
  <c r="AZ164" i="57" s="1"/>
  <c r="Q170" i="57"/>
  <c r="AB170" i="57" s="1"/>
  <c r="AZ170" i="57" s="1"/>
  <c r="Q167" i="57"/>
  <c r="AB167" i="57" s="1"/>
  <c r="AZ167" i="57" s="1"/>
  <c r="Q172" i="57"/>
  <c r="AB172" i="57" s="1"/>
  <c r="AZ172" i="57" s="1"/>
  <c r="Q169" i="57"/>
  <c r="AB169" i="57" s="1"/>
  <c r="AZ169" i="57" s="1"/>
  <c r="G168" i="56"/>
  <c r="Q171" i="57"/>
  <c r="AB171" i="57" s="1"/>
  <c r="AZ171" i="57" s="1"/>
  <c r="AD163" i="57"/>
  <c r="BL33" i="57" s="1"/>
  <c r="K26" i="59" s="1"/>
  <c r="Q162" i="57"/>
  <c r="Q165" i="57"/>
  <c r="AB165" i="57" s="1"/>
  <c r="AZ165" i="57" s="1"/>
  <c r="AD161" i="57"/>
  <c r="BL31" i="57" s="1"/>
  <c r="K24" i="59" s="1"/>
  <c r="I171" i="56"/>
  <c r="G197" i="55"/>
  <c r="I169" i="56"/>
  <c r="AB22" i="56"/>
  <c r="G169" i="56"/>
  <c r="H180" i="56"/>
  <c r="G173" i="56"/>
  <c r="I173" i="56"/>
  <c r="G171" i="56"/>
  <c r="K192" i="55"/>
  <c r="M192" i="55" s="1"/>
  <c r="N192" i="55" s="1"/>
  <c r="K190" i="55"/>
  <c r="M190" i="55" s="1"/>
  <c r="N190" i="55" s="1"/>
  <c r="K186" i="55"/>
  <c r="M186" i="55" s="1"/>
  <c r="K189" i="55"/>
  <c r="M189" i="55" s="1"/>
  <c r="N189" i="55" s="1"/>
  <c r="K188" i="55"/>
  <c r="M188" i="55" s="1"/>
  <c r="N188" i="55" s="1"/>
  <c r="K194" i="55"/>
  <c r="M194" i="55" s="1"/>
  <c r="N194" i="55" s="1"/>
  <c r="K196" i="55"/>
  <c r="M196" i="55" s="1"/>
  <c r="N196" i="55" s="1"/>
  <c r="K191" i="55"/>
  <c r="M191" i="55" s="1"/>
  <c r="N191" i="55" s="1"/>
  <c r="K193" i="55"/>
  <c r="M193" i="55" s="1"/>
  <c r="N193" i="55" s="1"/>
  <c r="M185" i="55"/>
  <c r="N185" i="55" s="1"/>
  <c r="K187" i="55"/>
  <c r="M187" i="55" s="1"/>
  <c r="N187" i="55" s="1"/>
  <c r="K195" i="55"/>
  <c r="M195" i="55" s="1"/>
  <c r="N195" i="55" s="1"/>
  <c r="H179" i="56"/>
  <c r="AB23" i="56" s="1"/>
  <c r="I177" i="56"/>
  <c r="G176" i="56"/>
  <c r="AB21" i="56"/>
  <c r="I176" i="56"/>
  <c r="L196" i="55"/>
  <c r="L190" i="55"/>
  <c r="L185" i="55"/>
  <c r="L186" i="55"/>
  <c r="L191" i="55"/>
  <c r="L195" i="55"/>
  <c r="L187" i="55"/>
  <c r="L192" i="55"/>
  <c r="L189" i="55"/>
  <c r="L188" i="55"/>
  <c r="L193" i="55"/>
  <c r="AD168" i="57" l="1"/>
  <c r="BL38" i="57" s="1"/>
  <c r="K31" i="59" s="1"/>
  <c r="AD166" i="57"/>
  <c r="BL36" i="57" s="1"/>
  <c r="K29" i="59" s="1"/>
  <c r="AD167" i="57"/>
  <c r="BL37" i="57" s="1"/>
  <c r="K30" i="59" s="1"/>
  <c r="AD164" i="57"/>
  <c r="BL34" i="57" s="1"/>
  <c r="K27" i="59" s="1"/>
  <c r="AD172" i="57"/>
  <c r="BL42" i="57" s="1"/>
  <c r="K35" i="59" s="1"/>
  <c r="AD170" i="57"/>
  <c r="BL40" i="57" s="1"/>
  <c r="K33" i="59" s="1"/>
  <c r="AD169" i="57"/>
  <c r="BL39" i="57" s="1"/>
  <c r="K32" i="59" s="1"/>
  <c r="H159" i="56"/>
  <c r="L177" i="56"/>
  <c r="AD171" i="57"/>
  <c r="BL41" i="57" s="1"/>
  <c r="K34" i="59" s="1"/>
  <c r="E196" i="57"/>
  <c r="AB162" i="57"/>
  <c r="AZ162" i="57" s="1"/>
  <c r="AZ173" i="57" s="1"/>
  <c r="Q173" i="57"/>
  <c r="E189" i="57"/>
  <c r="E197" i="57"/>
  <c r="E188" i="57"/>
  <c r="E191" i="57"/>
  <c r="E194" i="57"/>
  <c r="AD165" i="57"/>
  <c r="BL35" i="57" s="1"/>
  <c r="K28" i="59" s="1"/>
  <c r="E186" i="57"/>
  <c r="E192" i="57"/>
  <c r="E195" i="57"/>
  <c r="E193" i="57"/>
  <c r="G179" i="56"/>
  <c r="G180" i="56"/>
  <c r="L175" i="56"/>
  <c r="L171" i="56"/>
  <c r="L176" i="56"/>
  <c r="L172" i="56"/>
  <c r="H160" i="56"/>
  <c r="H158" i="56"/>
  <c r="I158" i="56" s="1"/>
  <c r="J158" i="56" s="1"/>
  <c r="M176" i="56" s="1"/>
  <c r="O185" i="55"/>
  <c r="AC30" i="55" s="1"/>
  <c r="Q185" i="55"/>
  <c r="L174" i="56"/>
  <c r="L173" i="56"/>
  <c r="L166" i="56"/>
  <c r="L170" i="56"/>
  <c r="L169" i="56"/>
  <c r="L167" i="56"/>
  <c r="L168" i="56"/>
  <c r="Q191" i="55"/>
  <c r="O191" i="55"/>
  <c r="AC36" i="55" s="1"/>
  <c r="Q196" i="55"/>
  <c r="O196" i="55"/>
  <c r="AC41" i="55" s="1"/>
  <c r="Q190" i="55"/>
  <c r="O190" i="55"/>
  <c r="AC35" i="55" s="1"/>
  <c r="Q193" i="55"/>
  <c r="O193" i="55"/>
  <c r="AC38" i="55" s="1"/>
  <c r="O187" i="55"/>
  <c r="AC32" i="55" s="1"/>
  <c r="Q187" i="55"/>
  <c r="Q189" i="55"/>
  <c r="O189" i="55"/>
  <c r="AC34" i="55" s="1"/>
  <c r="Q194" i="55"/>
  <c r="O194" i="55"/>
  <c r="AC39" i="55" s="1"/>
  <c r="Q195" i="55"/>
  <c r="O195" i="55"/>
  <c r="AC40" i="55" s="1"/>
  <c r="O192" i="55"/>
  <c r="AC37" i="55" s="1"/>
  <c r="Q192" i="55"/>
  <c r="Q188" i="55"/>
  <c r="O188" i="55"/>
  <c r="AC33" i="55" s="1"/>
  <c r="M197" i="55"/>
  <c r="N186" i="55"/>
  <c r="J191" i="57" l="1"/>
  <c r="F191" i="57"/>
  <c r="E190" i="57"/>
  <c r="J195" i="57"/>
  <c r="F195" i="57"/>
  <c r="F197" i="57"/>
  <c r="J197" i="57"/>
  <c r="F189" i="57"/>
  <c r="J189" i="57"/>
  <c r="J186" i="57"/>
  <c r="F186" i="57"/>
  <c r="AD162" i="57"/>
  <c r="BL32" i="57" s="1"/>
  <c r="K25" i="59" s="1"/>
  <c r="AB173" i="57"/>
  <c r="J193" i="57"/>
  <c r="F193" i="57"/>
  <c r="F188" i="57"/>
  <c r="J188" i="57"/>
  <c r="F194" i="57"/>
  <c r="J194" i="57"/>
  <c r="J192" i="57"/>
  <c r="F192" i="57"/>
  <c r="F196" i="57"/>
  <c r="J196" i="57"/>
  <c r="I160" i="56"/>
  <c r="J160" i="56" s="1"/>
  <c r="I159" i="56"/>
  <c r="J159" i="56" s="1"/>
  <c r="M177" i="56" s="1"/>
  <c r="O177" i="56" s="1"/>
  <c r="AB42" i="56" s="1"/>
  <c r="E214" i="55"/>
  <c r="F214" i="55" s="1"/>
  <c r="E213" i="55"/>
  <c r="F213" i="55" s="1"/>
  <c r="E217" i="55"/>
  <c r="F217" i="55" s="1"/>
  <c r="E212" i="55"/>
  <c r="F212" i="55" s="1"/>
  <c r="E216" i="55"/>
  <c r="F216" i="55" s="1"/>
  <c r="E210" i="55"/>
  <c r="F210" i="55" s="1"/>
  <c r="M166" i="56"/>
  <c r="Q177" i="56"/>
  <c r="M171" i="56"/>
  <c r="M175" i="56"/>
  <c r="M172" i="56"/>
  <c r="M170" i="56"/>
  <c r="Q176" i="56"/>
  <c r="O176" i="56"/>
  <c r="AB41" i="56" s="1"/>
  <c r="E218" i="55"/>
  <c r="F218" i="55" s="1"/>
  <c r="E215" i="55"/>
  <c r="F215" i="55" s="1"/>
  <c r="E221" i="55"/>
  <c r="F221" i="55" s="1"/>
  <c r="E220" i="55"/>
  <c r="F220" i="55" s="1"/>
  <c r="E219" i="55"/>
  <c r="F219" i="55" s="1"/>
  <c r="Q186" i="55"/>
  <c r="O186" i="55"/>
  <c r="AC31" i="55" s="1"/>
  <c r="N197" i="55"/>
  <c r="M169" i="56" l="1"/>
  <c r="M173" i="56"/>
  <c r="E187" i="57"/>
  <c r="H188" i="57"/>
  <c r="AH188" i="57" s="1"/>
  <c r="H186" i="57"/>
  <c r="AH186" i="57" s="1"/>
  <c r="H191" i="57"/>
  <c r="AH191" i="57" s="1"/>
  <c r="H197" i="57"/>
  <c r="AH197" i="57" s="1"/>
  <c r="H194" i="57"/>
  <c r="AH194" i="57" s="1"/>
  <c r="H195" i="57"/>
  <c r="AH195" i="57" s="1"/>
  <c r="H193" i="57"/>
  <c r="AH193" i="57" s="1"/>
  <c r="F190" i="57"/>
  <c r="J190" i="57"/>
  <c r="H196" i="57"/>
  <c r="AH196" i="57" s="1"/>
  <c r="H192" i="57"/>
  <c r="AH192" i="57" s="1"/>
  <c r="AD173" i="57"/>
  <c r="H189" i="57"/>
  <c r="AH189" i="57" s="1"/>
  <c r="M167" i="56"/>
  <c r="O167" i="56" s="1"/>
  <c r="AB32" i="56" s="1"/>
  <c r="M174" i="56"/>
  <c r="M168" i="56"/>
  <c r="H216" i="55"/>
  <c r="H214" i="55"/>
  <c r="G214" i="55" s="1"/>
  <c r="J216" i="55"/>
  <c r="J214" i="55"/>
  <c r="J210" i="55"/>
  <c r="J212" i="55"/>
  <c r="H210" i="55"/>
  <c r="G210" i="55" s="1"/>
  <c r="E211" i="55"/>
  <c r="F211" i="55" s="1"/>
  <c r="F222" i="55" s="1"/>
  <c r="H219" i="55"/>
  <c r="AD19" i="55" s="1"/>
  <c r="H212" i="55"/>
  <c r="G212" i="55" s="1"/>
  <c r="H221" i="55"/>
  <c r="AD21" i="55" s="1"/>
  <c r="H215" i="55"/>
  <c r="G215" i="55" s="1"/>
  <c r="J217" i="55"/>
  <c r="H217" i="55"/>
  <c r="AD17" i="55" s="1"/>
  <c r="H218" i="55"/>
  <c r="AD18" i="55" s="1"/>
  <c r="O197" i="55"/>
  <c r="J213" i="55"/>
  <c r="H213" i="55"/>
  <c r="G213" i="55" s="1"/>
  <c r="Q174" i="56"/>
  <c r="O171" i="56"/>
  <c r="AB36" i="56" s="1"/>
  <c r="O175" i="56"/>
  <c r="AB40" i="56" s="1"/>
  <c r="O166" i="56"/>
  <c r="AB31" i="56" s="1"/>
  <c r="O170" i="56"/>
  <c r="AB35" i="56" s="1"/>
  <c r="O173" i="56"/>
  <c r="AB38" i="56" s="1"/>
  <c r="Q172" i="56"/>
  <c r="Q173" i="56"/>
  <c r="Q171" i="56"/>
  <c r="Q166" i="56"/>
  <c r="F203" i="56"/>
  <c r="E203" i="56" s="1"/>
  <c r="Q175" i="56"/>
  <c r="O172" i="56"/>
  <c r="AB37" i="56" s="1"/>
  <c r="Q170" i="56"/>
  <c r="N168" i="56"/>
  <c r="N176" i="56"/>
  <c r="O169" i="56"/>
  <c r="AB34" i="56" s="1"/>
  <c r="Q169" i="56"/>
  <c r="F202" i="56"/>
  <c r="N174" i="56"/>
  <c r="G216" i="55"/>
  <c r="AD16" i="55"/>
  <c r="J220" i="55"/>
  <c r="H220" i="55"/>
  <c r="J221" i="55"/>
  <c r="J215" i="55"/>
  <c r="J219" i="55"/>
  <c r="J218" i="55"/>
  <c r="Q197" i="55"/>
  <c r="N177" i="56" l="1"/>
  <c r="N172" i="56"/>
  <c r="N171" i="56"/>
  <c r="M179" i="56"/>
  <c r="F200" i="56"/>
  <c r="K200" i="56" s="1"/>
  <c r="O174" i="56"/>
  <c r="AB39" i="56" s="1"/>
  <c r="N173" i="56"/>
  <c r="N169" i="56"/>
  <c r="N170" i="56"/>
  <c r="Q167" i="56"/>
  <c r="N175" i="56"/>
  <c r="AD14" i="55"/>
  <c r="BH11" i="57"/>
  <c r="L8" i="59" s="1"/>
  <c r="G186" i="57"/>
  <c r="BH20" i="57"/>
  <c r="L17" i="59" s="1"/>
  <c r="G195" i="57"/>
  <c r="G194" i="57"/>
  <c r="BH19" i="57"/>
  <c r="L16" i="59" s="1"/>
  <c r="BH17" i="57"/>
  <c r="L14" i="59" s="1"/>
  <c r="G192" i="57"/>
  <c r="BH14" i="57"/>
  <c r="L11" i="59" s="1"/>
  <c r="G189" i="57"/>
  <c r="G196" i="57"/>
  <c r="BH21" i="57"/>
  <c r="L18" i="59" s="1"/>
  <c r="BH16" i="57"/>
  <c r="L13" i="59" s="1"/>
  <c r="G191" i="57"/>
  <c r="BH13" i="57"/>
  <c r="L10" i="59" s="1"/>
  <c r="G188" i="57"/>
  <c r="H190" i="57"/>
  <c r="AH190" i="57" s="1"/>
  <c r="C177" i="57"/>
  <c r="C178" i="57" s="1"/>
  <c r="C181" i="57" s="1"/>
  <c r="BH18" i="57"/>
  <c r="L15" i="59" s="1"/>
  <c r="G193" i="57"/>
  <c r="G197" i="57"/>
  <c r="BH22" i="57"/>
  <c r="L19" i="59" s="1"/>
  <c r="F187" i="57"/>
  <c r="J187" i="57"/>
  <c r="J198" i="57" s="1"/>
  <c r="E198" i="57"/>
  <c r="N167" i="56"/>
  <c r="Q168" i="56"/>
  <c r="N166" i="56"/>
  <c r="O168" i="56"/>
  <c r="AB33" i="56" s="1"/>
  <c r="F199" i="56"/>
  <c r="F198" i="56"/>
  <c r="K198" i="56" s="1"/>
  <c r="G217" i="55"/>
  <c r="AD10" i="55"/>
  <c r="AD13" i="55"/>
  <c r="G219" i="55"/>
  <c r="G221" i="55"/>
  <c r="G218" i="55"/>
  <c r="C201" i="55"/>
  <c r="C202" i="55" s="1"/>
  <c r="C205" i="55" s="1"/>
  <c r="H222" i="55"/>
  <c r="AD22" i="55" s="1"/>
  <c r="AD15" i="55"/>
  <c r="AD12" i="55"/>
  <c r="H211" i="55"/>
  <c r="H223" i="55" s="1"/>
  <c r="K215" i="55" s="1"/>
  <c r="F193" i="56"/>
  <c r="E193" i="56" s="1"/>
  <c r="H203" i="56"/>
  <c r="AC22" i="56" s="1"/>
  <c r="F197" i="56"/>
  <c r="K197" i="56" s="1"/>
  <c r="K203" i="56"/>
  <c r="F192" i="56"/>
  <c r="K192" i="56" s="1"/>
  <c r="F201" i="56"/>
  <c r="K201" i="56" s="1"/>
  <c r="F196" i="56"/>
  <c r="K196" i="56" s="1"/>
  <c r="K199" i="56"/>
  <c r="E199" i="56"/>
  <c r="F194" i="56"/>
  <c r="F195" i="56"/>
  <c r="E202" i="56"/>
  <c r="K202" i="56"/>
  <c r="K193" i="56"/>
  <c r="G220" i="55"/>
  <c r="AD20" i="55"/>
  <c r="J211" i="55"/>
  <c r="J222" i="55" s="1"/>
  <c r="E222" i="55"/>
  <c r="I203" i="56" l="1"/>
  <c r="E200" i="56"/>
  <c r="G203" i="56"/>
  <c r="J199" i="57"/>
  <c r="H187" i="57"/>
  <c r="AH187" i="57" s="1"/>
  <c r="F198" i="57"/>
  <c r="BH15" i="57"/>
  <c r="L12" i="59" s="1"/>
  <c r="G190" i="57"/>
  <c r="Q179" i="56"/>
  <c r="E198" i="56"/>
  <c r="H198" i="56" s="1"/>
  <c r="G198" i="56" s="1"/>
  <c r="G222" i="55"/>
  <c r="AD11" i="55"/>
  <c r="G211" i="55"/>
  <c r="G223" i="55"/>
  <c r="L211" i="55" s="1"/>
  <c r="H199" i="56"/>
  <c r="AC18" i="56" s="1"/>
  <c r="H202" i="56"/>
  <c r="I202" i="56" s="1"/>
  <c r="H200" i="56"/>
  <c r="I200" i="56" s="1"/>
  <c r="H193" i="56"/>
  <c r="I193" i="56" s="1"/>
  <c r="E197" i="56"/>
  <c r="E196" i="56"/>
  <c r="E192" i="56"/>
  <c r="E201" i="56"/>
  <c r="F205" i="56"/>
  <c r="AC21" i="56"/>
  <c r="K195" i="56"/>
  <c r="E195" i="56"/>
  <c r="E194" i="56"/>
  <c r="K194" i="56"/>
  <c r="K221" i="55"/>
  <c r="K217" i="55"/>
  <c r="K212" i="55"/>
  <c r="K218" i="55"/>
  <c r="K220" i="55"/>
  <c r="L219" i="55"/>
  <c r="L217" i="55"/>
  <c r="K216" i="55"/>
  <c r="K210" i="55"/>
  <c r="K219" i="55"/>
  <c r="K211" i="55"/>
  <c r="K213" i="55"/>
  <c r="K214" i="55"/>
  <c r="J223" i="55"/>
  <c r="H198" i="57" l="1"/>
  <c r="AH198" i="57" s="1"/>
  <c r="S192" i="57"/>
  <c r="U192" i="57" s="1"/>
  <c r="S194" i="57"/>
  <c r="U194" i="57" s="1"/>
  <c r="S186" i="57"/>
  <c r="U186" i="57" s="1"/>
  <c r="S197" i="57"/>
  <c r="U197" i="57" s="1"/>
  <c r="S193" i="57"/>
  <c r="U193" i="57" s="1"/>
  <c r="S188" i="57"/>
  <c r="U188" i="57" s="1"/>
  <c r="S191" i="57"/>
  <c r="U191" i="57" s="1"/>
  <c r="S195" i="57"/>
  <c r="U195" i="57" s="1"/>
  <c r="S196" i="57"/>
  <c r="U196" i="57" s="1"/>
  <c r="S189" i="57"/>
  <c r="U189" i="57" s="1"/>
  <c r="S190" i="57"/>
  <c r="U190" i="57" s="1"/>
  <c r="S187" i="57"/>
  <c r="U187" i="57" s="1"/>
  <c r="G187" i="57"/>
  <c r="BH12" i="57"/>
  <c r="L9" i="59" s="1"/>
  <c r="H199" i="57"/>
  <c r="G193" i="56"/>
  <c r="AC12" i="56"/>
  <c r="L216" i="55"/>
  <c r="I199" i="56"/>
  <c r="G199" i="56"/>
  <c r="L212" i="55"/>
  <c r="G202" i="56"/>
  <c r="L213" i="55"/>
  <c r="L210" i="55"/>
  <c r="L214" i="55"/>
  <c r="L215" i="55"/>
  <c r="L218" i="55"/>
  <c r="L221" i="55"/>
  <c r="L220" i="55"/>
  <c r="H192" i="56"/>
  <c r="AC11" i="56" s="1"/>
  <c r="H194" i="56"/>
  <c r="AC13" i="56" s="1"/>
  <c r="H195" i="56"/>
  <c r="I195" i="56" s="1"/>
  <c r="G200" i="56"/>
  <c r="H197" i="56"/>
  <c r="I198" i="56"/>
  <c r="H201" i="56"/>
  <c r="G201" i="56" s="1"/>
  <c r="AC19" i="56"/>
  <c r="H196" i="56"/>
  <c r="AC17" i="56"/>
  <c r="K205" i="56"/>
  <c r="I194" i="56"/>
  <c r="G194" i="56"/>
  <c r="AC14" i="56"/>
  <c r="E205" i="56"/>
  <c r="M218" i="55"/>
  <c r="N218" i="55" s="1"/>
  <c r="M220" i="55"/>
  <c r="N220" i="55" s="1"/>
  <c r="M210" i="55"/>
  <c r="M217" i="55"/>
  <c r="N217" i="55" s="1"/>
  <c r="M216" i="55"/>
  <c r="N216" i="55" s="1"/>
  <c r="M211" i="55"/>
  <c r="N211" i="55" s="1"/>
  <c r="M213" i="55"/>
  <c r="N213" i="55" s="1"/>
  <c r="M212" i="55"/>
  <c r="N212" i="55" s="1"/>
  <c r="M221" i="55"/>
  <c r="N221" i="55" s="1"/>
  <c r="M219" i="55"/>
  <c r="N219" i="55" s="1"/>
  <c r="M214" i="55"/>
  <c r="N214" i="55" s="1"/>
  <c r="M215" i="55"/>
  <c r="N215" i="55" s="1"/>
  <c r="G199" i="57" l="1"/>
  <c r="U198" i="57"/>
  <c r="O186" i="57"/>
  <c r="O194" i="57"/>
  <c r="O196" i="57"/>
  <c r="O197" i="57"/>
  <c r="O191" i="57"/>
  <c r="O192" i="57"/>
  <c r="O188" i="57"/>
  <c r="O193" i="57"/>
  <c r="O195" i="57"/>
  <c r="O189" i="57"/>
  <c r="O190" i="57"/>
  <c r="O187" i="57"/>
  <c r="G198" i="57"/>
  <c r="BH23" i="57"/>
  <c r="L20" i="59" s="1"/>
  <c r="G192" i="56"/>
  <c r="I192" i="56"/>
  <c r="G195" i="56"/>
  <c r="I197" i="56"/>
  <c r="AC16" i="56"/>
  <c r="G197" i="56"/>
  <c r="I196" i="56"/>
  <c r="H184" i="56" s="1"/>
  <c r="AC15" i="56"/>
  <c r="G196" i="56"/>
  <c r="H206" i="56"/>
  <c r="H205" i="56"/>
  <c r="G205" i="56" s="1"/>
  <c r="I201" i="56"/>
  <c r="AC20" i="56"/>
  <c r="L194" i="56"/>
  <c r="L192" i="56"/>
  <c r="Q219" i="55"/>
  <c r="Q217" i="55"/>
  <c r="Q213" i="55"/>
  <c r="O211" i="55"/>
  <c r="AD31" i="55" s="1"/>
  <c r="O217" i="55"/>
  <c r="AD37" i="55" s="1"/>
  <c r="O213" i="55"/>
  <c r="AD33" i="55" s="1"/>
  <c r="Q212" i="55"/>
  <c r="O212" i="55"/>
  <c r="AD32" i="55" s="1"/>
  <c r="Q211" i="55"/>
  <c r="Q216" i="55"/>
  <c r="O216" i="55"/>
  <c r="AD36" i="55" s="1"/>
  <c r="O215" i="55"/>
  <c r="AD35" i="55" s="1"/>
  <c r="Q215" i="55"/>
  <c r="Q214" i="55"/>
  <c r="O214" i="55"/>
  <c r="AD34" i="55" s="1"/>
  <c r="N210" i="55"/>
  <c r="M222" i="55"/>
  <c r="Q220" i="55"/>
  <c r="O220" i="55"/>
  <c r="AD40" i="55" s="1"/>
  <c r="O219" i="55"/>
  <c r="AD39" i="55" s="1"/>
  <c r="Q221" i="55"/>
  <c r="O221" i="55"/>
  <c r="AD41" i="55" s="1"/>
  <c r="O218" i="55"/>
  <c r="AD38" i="55" s="1"/>
  <c r="Q218" i="55"/>
  <c r="L193" i="56" l="1"/>
  <c r="P186" i="57"/>
  <c r="Q186" i="57" s="1"/>
  <c r="P193" i="57"/>
  <c r="Q193" i="57" s="1"/>
  <c r="AB193" i="57" s="1"/>
  <c r="AZ193" i="57" s="1"/>
  <c r="P195" i="57"/>
  <c r="Q195" i="57" s="1"/>
  <c r="AB195" i="57" s="1"/>
  <c r="AZ195" i="57" s="1"/>
  <c r="P188" i="57"/>
  <c r="Q188" i="57" s="1"/>
  <c r="AB188" i="57" s="1"/>
  <c r="AZ188" i="57" s="1"/>
  <c r="P196" i="57"/>
  <c r="Q196" i="57" s="1"/>
  <c r="AB196" i="57" s="1"/>
  <c r="AZ196" i="57" s="1"/>
  <c r="P192" i="57"/>
  <c r="Q192" i="57" s="1"/>
  <c r="AB192" i="57" s="1"/>
  <c r="AZ192" i="57" s="1"/>
  <c r="P197" i="57"/>
  <c r="Q197" i="57" s="1"/>
  <c r="AB197" i="57" s="1"/>
  <c r="AZ197" i="57" s="1"/>
  <c r="P194" i="57"/>
  <c r="Q194" i="57" s="1"/>
  <c r="AB194" i="57" s="1"/>
  <c r="AZ194" i="57" s="1"/>
  <c r="P189" i="57"/>
  <c r="Q189" i="57" s="1"/>
  <c r="AB189" i="57" s="1"/>
  <c r="AZ189" i="57" s="1"/>
  <c r="P191" i="57"/>
  <c r="Q191" i="57" s="1"/>
  <c r="AB191" i="57" s="1"/>
  <c r="AZ191" i="57" s="1"/>
  <c r="P190" i="57"/>
  <c r="Q190" i="57" s="1"/>
  <c r="AB190" i="57" s="1"/>
  <c r="AZ190" i="57" s="1"/>
  <c r="P187" i="57"/>
  <c r="Q187" i="57" s="1"/>
  <c r="AB187" i="57" s="1"/>
  <c r="AZ187" i="57" s="1"/>
  <c r="L201" i="56"/>
  <c r="L197" i="56"/>
  <c r="G206" i="56"/>
  <c r="L202" i="56"/>
  <c r="L200" i="56"/>
  <c r="L199" i="56"/>
  <c r="H186" i="56"/>
  <c r="L198" i="56"/>
  <c r="E242" i="55"/>
  <c r="F242" i="55" s="1"/>
  <c r="E244" i="55"/>
  <c r="F244" i="55" s="1"/>
  <c r="E238" i="55"/>
  <c r="F238" i="55" s="1"/>
  <c r="L195" i="56"/>
  <c r="AC23" i="56"/>
  <c r="L203" i="56"/>
  <c r="L196" i="56"/>
  <c r="H185" i="56"/>
  <c r="E239" i="55"/>
  <c r="F239" i="55" s="1"/>
  <c r="E240" i="55"/>
  <c r="F240" i="55" s="1"/>
  <c r="E245" i="55"/>
  <c r="F245" i="55" s="1"/>
  <c r="E241" i="55"/>
  <c r="F241" i="55" s="1"/>
  <c r="E236" i="55"/>
  <c r="F236" i="55" s="1"/>
  <c r="E246" i="55"/>
  <c r="F246" i="55" s="1"/>
  <c r="J242" i="55"/>
  <c r="E243" i="55"/>
  <c r="F243" i="55" s="1"/>
  <c r="E237" i="55"/>
  <c r="F237" i="55" s="1"/>
  <c r="O210" i="55"/>
  <c r="AD30" i="55" s="1"/>
  <c r="Q210" i="55"/>
  <c r="N222" i="55"/>
  <c r="AD191" i="57" l="1"/>
  <c r="BM36" i="57" s="1"/>
  <c r="L29" i="59" s="1"/>
  <c r="AD193" i="57"/>
  <c r="BM38" i="57" s="1"/>
  <c r="L31" i="59" s="1"/>
  <c r="AD189" i="57"/>
  <c r="BM34" i="57" s="1"/>
  <c r="L27" i="59" s="1"/>
  <c r="Q198" i="57"/>
  <c r="AB186" i="57"/>
  <c r="AZ186" i="57" s="1"/>
  <c r="AZ198" i="57" s="1"/>
  <c r="AD194" i="57"/>
  <c r="BM39" i="57" s="1"/>
  <c r="L32" i="59" s="1"/>
  <c r="AD187" i="57"/>
  <c r="BM32" i="57" s="1"/>
  <c r="L25" i="59" s="1"/>
  <c r="AD197" i="57"/>
  <c r="BM42" i="57" s="1"/>
  <c r="L35" i="59" s="1"/>
  <c r="AD192" i="57"/>
  <c r="BM37" i="57" s="1"/>
  <c r="L30" i="59" s="1"/>
  <c r="AD188" i="57"/>
  <c r="BM33" i="57" s="1"/>
  <c r="L26" i="59" s="1"/>
  <c r="AD195" i="57"/>
  <c r="BM40" i="57" s="1"/>
  <c r="L33" i="59" s="1"/>
  <c r="AD196" i="57"/>
  <c r="BM41" i="57" s="1"/>
  <c r="L34" i="59" s="1"/>
  <c r="AD190" i="57"/>
  <c r="BM35" i="57" s="1"/>
  <c r="L28" i="59" s="1"/>
  <c r="J244" i="55"/>
  <c r="I184" i="56"/>
  <c r="J184" i="56" s="1"/>
  <c r="M201" i="56" s="1"/>
  <c r="I185" i="56"/>
  <c r="J185" i="56" s="1"/>
  <c r="M194" i="56" s="1"/>
  <c r="J238" i="55"/>
  <c r="H239" i="55"/>
  <c r="AE14" i="55" s="1"/>
  <c r="H245" i="55"/>
  <c r="G245" i="55" s="1"/>
  <c r="H237" i="55"/>
  <c r="G237" i="55" s="1"/>
  <c r="H240" i="55"/>
  <c r="G240" i="55" s="1"/>
  <c r="H243" i="55"/>
  <c r="AE18" i="55" s="1"/>
  <c r="H238" i="55"/>
  <c r="O222" i="55"/>
  <c r="H246" i="55"/>
  <c r="G246" i="55" s="1"/>
  <c r="H244" i="55"/>
  <c r="E235" i="55"/>
  <c r="F235" i="55" s="1"/>
  <c r="H236" i="55"/>
  <c r="AE11" i="55" s="1"/>
  <c r="H241" i="55"/>
  <c r="G241" i="55" s="1"/>
  <c r="H242" i="55"/>
  <c r="I186" i="56"/>
  <c r="J186" i="56" s="1"/>
  <c r="M202" i="56"/>
  <c r="M197" i="56"/>
  <c r="J243" i="55"/>
  <c r="J241" i="55"/>
  <c r="J246" i="55"/>
  <c r="J245" i="55"/>
  <c r="J240" i="55"/>
  <c r="J237" i="55"/>
  <c r="J236" i="55"/>
  <c r="J239" i="55"/>
  <c r="Q222" i="55"/>
  <c r="M203" i="56" l="1"/>
  <c r="M192" i="56"/>
  <c r="E212" i="57"/>
  <c r="E214" i="57"/>
  <c r="E217" i="57"/>
  <c r="E219" i="57"/>
  <c r="E218" i="57"/>
  <c r="E221" i="57"/>
  <c r="E220" i="57"/>
  <c r="E222" i="57"/>
  <c r="AD186" i="57"/>
  <c r="BM31" i="57" s="1"/>
  <c r="L24" i="59" s="1"/>
  <c r="AB198" i="57"/>
  <c r="E216" i="57"/>
  <c r="E215" i="57"/>
  <c r="E213" i="57"/>
  <c r="M199" i="56"/>
  <c r="M200" i="56"/>
  <c r="M196" i="56"/>
  <c r="M198" i="56"/>
  <c r="M193" i="56"/>
  <c r="G243" i="55"/>
  <c r="G239" i="55"/>
  <c r="M195" i="56"/>
  <c r="O201" i="56"/>
  <c r="AC40" i="56" s="1"/>
  <c r="Q201" i="56"/>
  <c r="F227" i="56" s="1"/>
  <c r="E227" i="56" s="1"/>
  <c r="G236" i="55"/>
  <c r="AE20" i="55"/>
  <c r="H235" i="55"/>
  <c r="G235" i="55" s="1"/>
  <c r="AE21" i="55"/>
  <c r="AE12" i="55"/>
  <c r="F247" i="55"/>
  <c r="H247" i="55" s="1"/>
  <c r="G247" i="55" s="1"/>
  <c r="AE15" i="55"/>
  <c r="AE13" i="55"/>
  <c r="G238" i="55"/>
  <c r="C226" i="55"/>
  <c r="C227" i="55" s="1"/>
  <c r="C230" i="55" s="1"/>
  <c r="AE16" i="55"/>
  <c r="G242" i="55"/>
  <c r="AE17" i="55"/>
  <c r="G244" i="55"/>
  <c r="AE19" i="55"/>
  <c r="Q202" i="56"/>
  <c r="F228" i="56" s="1"/>
  <c r="O192" i="56"/>
  <c r="AC31" i="56" s="1"/>
  <c r="O202" i="56"/>
  <c r="AC41" i="56" s="1"/>
  <c r="Q192" i="56"/>
  <c r="O194" i="56"/>
  <c r="AC33" i="56" s="1"/>
  <c r="Q194" i="56"/>
  <c r="Q197" i="56"/>
  <c r="O197" i="56"/>
  <c r="AC36" i="56" s="1"/>
  <c r="O203" i="56"/>
  <c r="AC42" i="56" s="1"/>
  <c r="Q203" i="56"/>
  <c r="Q199" i="56"/>
  <c r="Q200" i="56"/>
  <c r="O200" i="56"/>
  <c r="AC39" i="56" s="1"/>
  <c r="O195" i="56"/>
  <c r="AC34" i="56" s="1"/>
  <c r="J235" i="55"/>
  <c r="J247" i="55" s="1"/>
  <c r="E247" i="55"/>
  <c r="M205" i="56" l="1"/>
  <c r="O198" i="56"/>
  <c r="AC37" i="56" s="1"/>
  <c r="N200" i="56"/>
  <c r="N198" i="56"/>
  <c r="Q193" i="56"/>
  <c r="N197" i="56"/>
  <c r="O193" i="56"/>
  <c r="AC32" i="56" s="1"/>
  <c r="N196" i="56"/>
  <c r="Q198" i="56"/>
  <c r="N199" i="56"/>
  <c r="N195" i="56"/>
  <c r="O199" i="56"/>
  <c r="AC38" i="56" s="1"/>
  <c r="N194" i="56"/>
  <c r="Q195" i="56"/>
  <c r="F219" i="57"/>
  <c r="J219" i="57"/>
  <c r="J222" i="57"/>
  <c r="F222" i="57"/>
  <c r="J220" i="57"/>
  <c r="F220" i="57"/>
  <c r="J215" i="57"/>
  <c r="F215" i="57"/>
  <c r="F216" i="57"/>
  <c r="J216" i="57"/>
  <c r="J217" i="57"/>
  <c r="F217" i="57"/>
  <c r="AD198" i="57"/>
  <c r="F221" i="57"/>
  <c r="J221" i="57"/>
  <c r="F214" i="57"/>
  <c r="J214" i="57"/>
  <c r="E211" i="57"/>
  <c r="F212" i="57"/>
  <c r="J212" i="57"/>
  <c r="J213" i="57"/>
  <c r="F213" i="57"/>
  <c r="J218" i="57"/>
  <c r="F218" i="57"/>
  <c r="Q196" i="56"/>
  <c r="N192" i="56"/>
  <c r="N203" i="56"/>
  <c r="N202" i="56"/>
  <c r="O196" i="56"/>
  <c r="AC35" i="56" s="1"/>
  <c r="N201" i="56"/>
  <c r="N193" i="56"/>
  <c r="AE10" i="55"/>
  <c r="K228" i="56"/>
  <c r="E228" i="56"/>
  <c r="H228" i="56" s="1"/>
  <c r="K227" i="56"/>
  <c r="H248" i="55"/>
  <c r="K238" i="55" s="1"/>
  <c r="AE22" i="55"/>
  <c r="G248" i="55"/>
  <c r="L235" i="55" s="1"/>
  <c r="H227" i="56"/>
  <c r="F218" i="56"/>
  <c r="E218" i="56" s="1"/>
  <c r="K218" i="56"/>
  <c r="F219" i="56"/>
  <c r="F224" i="56"/>
  <c r="F226" i="56"/>
  <c r="F229" i="56"/>
  <c r="F220" i="56"/>
  <c r="F222" i="56"/>
  <c r="F223" i="56"/>
  <c r="F225" i="56"/>
  <c r="J248" i="55"/>
  <c r="Q205" i="56" l="1"/>
  <c r="F221" i="56"/>
  <c r="H215" i="57"/>
  <c r="AH215" i="57" s="1"/>
  <c r="H221" i="57"/>
  <c r="AH221" i="57" s="1"/>
  <c r="H212" i="57"/>
  <c r="AH212" i="57" s="1"/>
  <c r="H220" i="57"/>
  <c r="AH220" i="57" s="1"/>
  <c r="J211" i="57"/>
  <c r="E223" i="57"/>
  <c r="F211" i="57"/>
  <c r="C202" i="57"/>
  <c r="C203" i="57" s="1"/>
  <c r="C206" i="57" s="1"/>
  <c r="H217" i="57"/>
  <c r="AH217" i="57" s="1"/>
  <c r="H222" i="57"/>
  <c r="AH222" i="57" s="1"/>
  <c r="H218" i="57"/>
  <c r="AH218" i="57" s="1"/>
  <c r="H213" i="57"/>
  <c r="AH213" i="57" s="1"/>
  <c r="H214" i="57"/>
  <c r="AH214" i="57" s="1"/>
  <c r="H216" i="57"/>
  <c r="AH216" i="57" s="1"/>
  <c r="H219" i="57"/>
  <c r="AH219" i="57" s="1"/>
  <c r="K245" i="55"/>
  <c r="K243" i="55"/>
  <c r="K241" i="55"/>
  <c r="M241" i="55" s="1"/>
  <c r="N241" i="55" s="1"/>
  <c r="K239" i="55"/>
  <c r="M239" i="55" s="1"/>
  <c r="N239" i="55" s="1"/>
  <c r="K237" i="55"/>
  <c r="M237" i="55" s="1"/>
  <c r="N237" i="55" s="1"/>
  <c r="L246" i="55"/>
  <c r="K242" i="55"/>
  <c r="M242" i="55" s="1"/>
  <c r="N242" i="55" s="1"/>
  <c r="L238" i="55"/>
  <c r="K246" i="55"/>
  <c r="M246" i="55" s="1"/>
  <c r="N246" i="55" s="1"/>
  <c r="K235" i="55"/>
  <c r="M235" i="55" s="1"/>
  <c r="K236" i="55"/>
  <c r="M236" i="55" s="1"/>
  <c r="N236" i="55" s="1"/>
  <c r="K240" i="55"/>
  <c r="M240" i="55" s="1"/>
  <c r="N240" i="55" s="1"/>
  <c r="L244" i="55"/>
  <c r="L240" i="55"/>
  <c r="K244" i="55"/>
  <c r="M244" i="55" s="1"/>
  <c r="N244" i="55" s="1"/>
  <c r="L239" i="55"/>
  <c r="I228" i="56"/>
  <c r="G228" i="56"/>
  <c r="AD21" i="56"/>
  <c r="L245" i="55"/>
  <c r="L237" i="55"/>
  <c r="L243" i="55"/>
  <c r="L236" i="55"/>
  <c r="L242" i="55"/>
  <c r="L241" i="55"/>
  <c r="H218" i="56"/>
  <c r="I227" i="56"/>
  <c r="AD20" i="56"/>
  <c r="G227" i="56"/>
  <c r="K224" i="56"/>
  <c r="E224" i="56"/>
  <c r="E219" i="56"/>
  <c r="K219" i="56"/>
  <c r="E222" i="56"/>
  <c r="K222" i="56"/>
  <c r="E225" i="56"/>
  <c r="K225" i="56"/>
  <c r="K221" i="56"/>
  <c r="E221" i="56"/>
  <c r="K220" i="56"/>
  <c r="F231" i="56"/>
  <c r="E220" i="56"/>
  <c r="E223" i="56"/>
  <c r="K223" i="56"/>
  <c r="E229" i="56"/>
  <c r="K229" i="56"/>
  <c r="K226" i="56"/>
  <c r="E226" i="56"/>
  <c r="M245" i="55"/>
  <c r="N245" i="55" s="1"/>
  <c r="M243" i="55"/>
  <c r="N243" i="55" s="1"/>
  <c r="M238" i="55"/>
  <c r="N238" i="55" s="1"/>
  <c r="J224" i="57" l="1"/>
  <c r="BI12" i="57"/>
  <c r="M9" i="59" s="1"/>
  <c r="G212" i="57"/>
  <c r="F223" i="57"/>
  <c r="S211" i="57" s="1"/>
  <c r="H211" i="57"/>
  <c r="AH211" i="57" s="1"/>
  <c r="G222" i="57"/>
  <c r="BI22" i="57"/>
  <c r="M19" i="59" s="1"/>
  <c r="G219" i="57"/>
  <c r="BI19" i="57"/>
  <c r="M16" i="59" s="1"/>
  <c r="J223" i="57"/>
  <c r="G215" i="57"/>
  <c r="BI15" i="57"/>
  <c r="M12" i="59" s="1"/>
  <c r="BI14" i="57"/>
  <c r="M11" i="59" s="1"/>
  <c r="G214" i="57"/>
  <c r="G221" i="57"/>
  <c r="BI21" i="57"/>
  <c r="M18" i="59" s="1"/>
  <c r="G213" i="57"/>
  <c r="BI13" i="57"/>
  <c r="M10" i="59" s="1"/>
  <c r="G217" i="57"/>
  <c r="BI17" i="57"/>
  <c r="M14" i="59" s="1"/>
  <c r="G220" i="57"/>
  <c r="BI20" i="57"/>
  <c r="M17" i="59" s="1"/>
  <c r="BI16" i="57"/>
  <c r="M13" i="59" s="1"/>
  <c r="G216" i="57"/>
  <c r="G218" i="57"/>
  <c r="BI18" i="57"/>
  <c r="M15" i="59" s="1"/>
  <c r="H219" i="56"/>
  <c r="H226" i="56"/>
  <c r="G226" i="56" s="1"/>
  <c r="H221" i="56"/>
  <c r="G221" i="56" s="1"/>
  <c r="H224" i="56"/>
  <c r="AD17" i="56" s="1"/>
  <c r="H229" i="56"/>
  <c r="AD22" i="56" s="1"/>
  <c r="H225" i="56"/>
  <c r="AD18" i="56" s="1"/>
  <c r="H223" i="56"/>
  <c r="AD16" i="56" s="1"/>
  <c r="H222" i="56"/>
  <c r="AD15" i="56" s="1"/>
  <c r="G218" i="56"/>
  <c r="I218" i="56"/>
  <c r="AD11" i="56"/>
  <c r="G219" i="56"/>
  <c r="I219" i="56"/>
  <c r="AD12" i="56"/>
  <c r="G229" i="56"/>
  <c r="K231" i="56"/>
  <c r="I225" i="56"/>
  <c r="G225" i="56"/>
  <c r="H220" i="56"/>
  <c r="E231" i="56"/>
  <c r="Q245" i="55"/>
  <c r="Q243" i="55"/>
  <c r="O237" i="55"/>
  <c r="AE32" i="55" s="1"/>
  <c r="O239" i="55"/>
  <c r="AE34" i="55" s="1"/>
  <c r="O245" i="55"/>
  <c r="AE40" i="55" s="1"/>
  <c r="Q239" i="55"/>
  <c r="O246" i="55"/>
  <c r="AE41" i="55" s="1"/>
  <c r="Q246" i="55"/>
  <c r="Q237" i="55"/>
  <c r="Q236" i="55"/>
  <c r="O236" i="55"/>
  <c r="AE31" i="55" s="1"/>
  <c r="N235" i="55"/>
  <c r="M247" i="55"/>
  <c r="Q242" i="55"/>
  <c r="O242" i="55"/>
  <c r="AE37" i="55" s="1"/>
  <c r="Q241" i="55"/>
  <c r="O241" i="55"/>
  <c r="AE36" i="55" s="1"/>
  <c r="Q240" i="55"/>
  <c r="O240" i="55"/>
  <c r="AE35" i="55" s="1"/>
  <c r="O243" i="55"/>
  <c r="AE38" i="55" s="1"/>
  <c r="Q238" i="55"/>
  <c r="O238" i="55"/>
  <c r="AE33" i="55" s="1"/>
  <c r="O244" i="55"/>
  <c r="AE39" i="55" s="1"/>
  <c r="Q244" i="55"/>
  <c r="U211" i="57" l="1"/>
  <c r="I226" i="56"/>
  <c r="AD19" i="56"/>
  <c r="I229" i="56"/>
  <c r="H223" i="57"/>
  <c r="AH223" i="57" s="1"/>
  <c r="S212" i="57"/>
  <c r="U212" i="57" s="1"/>
  <c r="S218" i="57"/>
  <c r="U218" i="57" s="1"/>
  <c r="S215" i="57"/>
  <c r="U215" i="57" s="1"/>
  <c r="S216" i="57"/>
  <c r="U216" i="57" s="1"/>
  <c r="S217" i="57"/>
  <c r="U217" i="57" s="1"/>
  <c r="S219" i="57"/>
  <c r="U219" i="57" s="1"/>
  <c r="S214" i="57"/>
  <c r="U214" i="57" s="1"/>
  <c r="S220" i="57"/>
  <c r="U220" i="57" s="1"/>
  <c r="S213" i="57"/>
  <c r="U213" i="57" s="1"/>
  <c r="S221" i="57"/>
  <c r="U221" i="57" s="1"/>
  <c r="S222" i="57"/>
  <c r="U222" i="57" s="1"/>
  <c r="H224" i="57"/>
  <c r="BI11" i="57"/>
  <c r="M8" i="59" s="1"/>
  <c r="G211" i="57"/>
  <c r="G224" i="57" s="1"/>
  <c r="P211" i="57" s="1"/>
  <c r="G224" i="56"/>
  <c r="G223" i="56"/>
  <c r="I223" i="56"/>
  <c r="E268" i="55"/>
  <c r="F268" i="55" s="1"/>
  <c r="E270" i="55"/>
  <c r="F270" i="55" s="1"/>
  <c r="H231" i="56"/>
  <c r="AD23" i="56" s="1"/>
  <c r="I224" i="56"/>
  <c r="I222" i="56"/>
  <c r="I221" i="56"/>
  <c r="G222" i="56"/>
  <c r="AD14" i="56"/>
  <c r="AD13" i="56"/>
  <c r="G220" i="56"/>
  <c r="H232" i="56"/>
  <c r="I220" i="56"/>
  <c r="E265" i="55"/>
  <c r="F265" i="55" s="1"/>
  <c r="E266" i="55"/>
  <c r="F266" i="55" s="1"/>
  <c r="E263" i="55"/>
  <c r="F263" i="55" s="1"/>
  <c r="E261" i="55"/>
  <c r="F261" i="55" s="1"/>
  <c r="E262" i="55"/>
  <c r="F262" i="55" s="1"/>
  <c r="E269" i="55"/>
  <c r="F269" i="55" s="1"/>
  <c r="E271" i="55"/>
  <c r="F271" i="55" s="1"/>
  <c r="E267" i="55"/>
  <c r="F267" i="55" s="1"/>
  <c r="E264" i="55"/>
  <c r="F264" i="55" s="1"/>
  <c r="Q235" i="55"/>
  <c r="N247" i="55"/>
  <c r="O235" i="55"/>
  <c r="AE30" i="55" s="1"/>
  <c r="J270" i="55" l="1"/>
  <c r="U223" i="57"/>
  <c r="O220" i="57"/>
  <c r="O222" i="57"/>
  <c r="O215" i="57"/>
  <c r="O213" i="57"/>
  <c r="O214" i="57"/>
  <c r="O217" i="57"/>
  <c r="Q217" i="57" s="1"/>
  <c r="AB217" i="57" s="1"/>
  <c r="AZ217" i="57" s="1"/>
  <c r="O212" i="57"/>
  <c r="O216" i="57"/>
  <c r="O219" i="57"/>
  <c r="O218" i="57"/>
  <c r="O221" i="57"/>
  <c r="BI23" i="57"/>
  <c r="M20" i="59" s="1"/>
  <c r="G223" i="57"/>
  <c r="P213" i="57"/>
  <c r="P220" i="57"/>
  <c r="P212" i="57"/>
  <c r="P217" i="57"/>
  <c r="P221" i="57"/>
  <c r="P222" i="57"/>
  <c r="P216" i="57"/>
  <c r="P219" i="57"/>
  <c r="P218" i="57"/>
  <c r="P214" i="57"/>
  <c r="O211" i="57"/>
  <c r="Q211" i="57" s="1"/>
  <c r="P215" i="57"/>
  <c r="G231" i="56"/>
  <c r="J268" i="55"/>
  <c r="H261" i="55"/>
  <c r="G261" i="55" s="1"/>
  <c r="H266" i="55"/>
  <c r="G266" i="55" s="1"/>
  <c r="O247" i="55"/>
  <c r="E260" i="55"/>
  <c r="F260" i="55" s="1"/>
  <c r="H263" i="55"/>
  <c r="G263" i="55" s="1"/>
  <c r="H264" i="55"/>
  <c r="AF14" i="55" s="1"/>
  <c r="H265" i="55"/>
  <c r="G265" i="55" s="1"/>
  <c r="H267" i="55"/>
  <c r="G267" i="55" s="1"/>
  <c r="H271" i="55"/>
  <c r="G271" i="55" s="1"/>
  <c r="H270" i="55"/>
  <c r="H269" i="55"/>
  <c r="AF19" i="55" s="1"/>
  <c r="H262" i="55"/>
  <c r="AF12" i="55" s="1"/>
  <c r="H268" i="55"/>
  <c r="L226" i="56"/>
  <c r="G232" i="56"/>
  <c r="L220" i="56"/>
  <c r="L225" i="56"/>
  <c r="L223" i="56"/>
  <c r="L221" i="56"/>
  <c r="L218" i="56"/>
  <c r="L219" i="56"/>
  <c r="H210" i="56"/>
  <c r="H211" i="56"/>
  <c r="L227" i="56"/>
  <c r="L228" i="56"/>
  <c r="L224" i="56"/>
  <c r="H212" i="56"/>
  <c r="L229" i="56"/>
  <c r="L222" i="56"/>
  <c r="G264" i="55"/>
  <c r="J261" i="55"/>
  <c r="J267" i="55"/>
  <c r="J271" i="55"/>
  <c r="J263" i="55"/>
  <c r="J269" i="55"/>
  <c r="J266" i="55"/>
  <c r="J264" i="55"/>
  <c r="J262" i="55"/>
  <c r="J265" i="55"/>
  <c r="Q247" i="55"/>
  <c r="Q215" i="57" l="1"/>
  <c r="AB215" i="57" s="1"/>
  <c r="AZ215" i="57" s="1"/>
  <c r="AF16" i="55"/>
  <c r="Q221" i="57"/>
  <c r="AB221" i="57" s="1"/>
  <c r="AZ221" i="57" s="1"/>
  <c r="Q212" i="57"/>
  <c r="AB212" i="57" s="1"/>
  <c r="Q214" i="57"/>
  <c r="AB214" i="57" s="1"/>
  <c r="AZ214" i="57" s="1"/>
  <c r="AB211" i="57"/>
  <c r="AZ211" i="57" s="1"/>
  <c r="Q216" i="57"/>
  <c r="AB216" i="57" s="1"/>
  <c r="AZ216" i="57" s="1"/>
  <c r="AD217" i="57"/>
  <c r="BN37" i="57" s="1"/>
  <c r="M30" i="59" s="1"/>
  <c r="Q213" i="57"/>
  <c r="AB213" i="57" s="1"/>
  <c r="AZ213" i="57" s="1"/>
  <c r="Q218" i="57"/>
  <c r="AB218" i="57" s="1"/>
  <c r="AZ218" i="57" s="1"/>
  <c r="Q222" i="57"/>
  <c r="AB222" i="57" s="1"/>
  <c r="AZ222" i="57" s="1"/>
  <c r="Q219" i="57"/>
  <c r="AB219" i="57" s="1"/>
  <c r="AZ219" i="57" s="1"/>
  <c r="Q220" i="57"/>
  <c r="AB220" i="57" s="1"/>
  <c r="AZ220" i="57" s="1"/>
  <c r="AF13" i="55"/>
  <c r="AF11" i="55"/>
  <c r="AF21" i="55"/>
  <c r="G262" i="55"/>
  <c r="G269" i="55"/>
  <c r="AF15" i="55"/>
  <c r="C251" i="55"/>
  <c r="C252" i="55" s="1"/>
  <c r="C255" i="55" s="1"/>
  <c r="AF17" i="55"/>
  <c r="F272" i="55"/>
  <c r="G270" i="55"/>
  <c r="AF20" i="55"/>
  <c r="H260" i="55"/>
  <c r="G260" i="55" s="1"/>
  <c r="G268" i="55"/>
  <c r="AF18" i="55"/>
  <c r="I212" i="56"/>
  <c r="J212" i="56" s="1"/>
  <c r="I210" i="56"/>
  <c r="J210" i="56" s="1"/>
  <c r="I211" i="56"/>
  <c r="J211" i="56" s="1"/>
  <c r="M219" i="56" s="1"/>
  <c r="E272" i="55"/>
  <c r="J260" i="55"/>
  <c r="AD215" i="57" l="1"/>
  <c r="BN35" i="57" s="1"/>
  <c r="M28" i="59" s="1"/>
  <c r="AD221" i="57"/>
  <c r="BN41" i="57" s="1"/>
  <c r="M34" i="59" s="1"/>
  <c r="AZ212" i="57"/>
  <c r="AZ223" i="57" s="1"/>
  <c r="AD212" i="57"/>
  <c r="BN32" i="57" s="1"/>
  <c r="M25" i="59" s="1"/>
  <c r="AD222" i="57"/>
  <c r="BN42" i="57" s="1"/>
  <c r="M35" i="59" s="1"/>
  <c r="AD218" i="57"/>
  <c r="BN38" i="57" s="1"/>
  <c r="M31" i="59" s="1"/>
  <c r="AD213" i="57"/>
  <c r="BN33" i="57" s="1"/>
  <c r="M26" i="59" s="1"/>
  <c r="AD211" i="57"/>
  <c r="BN31" i="57" s="1"/>
  <c r="M24" i="59" s="1"/>
  <c r="AB223" i="57"/>
  <c r="AD220" i="57"/>
  <c r="BN40" i="57" s="1"/>
  <c r="M33" i="59" s="1"/>
  <c r="E240" i="57"/>
  <c r="AD219" i="57"/>
  <c r="BN39" i="57" s="1"/>
  <c r="M32" i="59" s="1"/>
  <c r="E242" i="57"/>
  <c r="AD216" i="57"/>
  <c r="BN36" i="57" s="1"/>
  <c r="M29" i="59" s="1"/>
  <c r="E246" i="57"/>
  <c r="Q223" i="57"/>
  <c r="AD214" i="57"/>
  <c r="BN34" i="57" s="1"/>
  <c r="M27" i="59" s="1"/>
  <c r="G273" i="55"/>
  <c r="L260" i="55" s="1"/>
  <c r="H273" i="55"/>
  <c r="K270" i="55" s="1"/>
  <c r="H272" i="55"/>
  <c r="AF10" i="55"/>
  <c r="M228" i="56"/>
  <c r="M220" i="56"/>
  <c r="M221" i="56"/>
  <c r="M227" i="56"/>
  <c r="M218" i="56"/>
  <c r="M224" i="56"/>
  <c r="M229" i="56"/>
  <c r="M222" i="56"/>
  <c r="M223" i="56"/>
  <c r="M225" i="56"/>
  <c r="M226" i="56"/>
  <c r="O219" i="56"/>
  <c r="AD32" i="56" s="1"/>
  <c r="Q219" i="56"/>
  <c r="J273" i="55"/>
  <c r="J272" i="55"/>
  <c r="E237" i="57" l="1"/>
  <c r="F237" i="57" s="1"/>
  <c r="Q228" i="56"/>
  <c r="L270" i="55"/>
  <c r="L261" i="55"/>
  <c r="E238" i="57"/>
  <c r="F242" i="57"/>
  <c r="J242" i="57"/>
  <c r="E245" i="57"/>
  <c r="E236" i="57"/>
  <c r="AD223" i="57"/>
  <c r="E247" i="57"/>
  <c r="E243" i="57"/>
  <c r="F246" i="57"/>
  <c r="J246" i="57"/>
  <c r="E244" i="57"/>
  <c r="E239" i="57"/>
  <c r="E241" i="57"/>
  <c r="J240" i="57"/>
  <c r="F240" i="57"/>
  <c r="K263" i="55"/>
  <c r="M263" i="55" s="1"/>
  <c r="N263" i="55" s="1"/>
  <c r="L271" i="55"/>
  <c r="K266" i="55"/>
  <c r="L265" i="55"/>
  <c r="L267" i="55"/>
  <c r="L262" i="55"/>
  <c r="K262" i="55"/>
  <c r="M262" i="55" s="1"/>
  <c r="N262" i="55" s="1"/>
  <c r="K268" i="55"/>
  <c r="M268" i="55" s="1"/>
  <c r="N268" i="55" s="1"/>
  <c r="K264" i="55"/>
  <c r="M264" i="55" s="1"/>
  <c r="N264" i="55" s="1"/>
  <c r="K269" i="55"/>
  <c r="M269" i="55" s="1"/>
  <c r="N269" i="55" s="1"/>
  <c r="K261" i="55"/>
  <c r="M261" i="55" s="1"/>
  <c r="N261" i="55" s="1"/>
  <c r="L269" i="55"/>
  <c r="L268" i="55"/>
  <c r="L264" i="55"/>
  <c r="K271" i="55"/>
  <c r="L263" i="55"/>
  <c r="L266" i="55"/>
  <c r="K260" i="55"/>
  <c r="M260" i="55" s="1"/>
  <c r="K265" i="55"/>
  <c r="M265" i="55" s="1"/>
  <c r="N265" i="55" s="1"/>
  <c r="O228" i="56"/>
  <c r="AD41" i="56" s="1"/>
  <c r="K267" i="55"/>
  <c r="M267" i="55" s="1"/>
  <c r="N267" i="55" s="1"/>
  <c r="AF22" i="55"/>
  <c r="G272" i="55"/>
  <c r="O224" i="56"/>
  <c r="AD37" i="56" s="1"/>
  <c r="O221" i="56"/>
  <c r="AD34" i="56" s="1"/>
  <c r="Q227" i="56"/>
  <c r="Q218" i="56"/>
  <c r="O222" i="56"/>
  <c r="AD35" i="56" s="1"/>
  <c r="Q220" i="56"/>
  <c r="F246" i="56" s="1"/>
  <c r="E246" i="56" s="1"/>
  <c r="Q229" i="56"/>
  <c r="O229" i="56"/>
  <c r="AD42" i="56" s="1"/>
  <c r="Q224" i="56"/>
  <c r="O227" i="56"/>
  <c r="AD40" i="56" s="1"/>
  <c r="O218" i="56"/>
  <c r="AD31" i="56" s="1"/>
  <c r="Q221" i="56"/>
  <c r="O220" i="56"/>
  <c r="AD33" i="56" s="1"/>
  <c r="Q222" i="56"/>
  <c r="N229" i="56"/>
  <c r="N224" i="56"/>
  <c r="F245" i="56"/>
  <c r="M231" i="56"/>
  <c r="O226" i="56"/>
  <c r="AD39" i="56" s="1"/>
  <c r="N226" i="56"/>
  <c r="Q226" i="56"/>
  <c r="N228" i="56"/>
  <c r="Q225" i="56"/>
  <c r="N225" i="56"/>
  <c r="O225" i="56"/>
  <c r="AD38" i="56" s="1"/>
  <c r="N227" i="56"/>
  <c r="N219" i="56"/>
  <c r="Q223" i="56"/>
  <c r="N223" i="56"/>
  <c r="O223" i="56"/>
  <c r="AD36" i="56" s="1"/>
  <c r="N222" i="56"/>
  <c r="F254" i="56"/>
  <c r="N221" i="56"/>
  <c r="N218" i="56"/>
  <c r="N220" i="56"/>
  <c r="M270" i="55"/>
  <c r="N270" i="55" s="1"/>
  <c r="M266" i="55"/>
  <c r="N266" i="55" s="1"/>
  <c r="M271" i="55"/>
  <c r="N271" i="55" s="1"/>
  <c r="J237" i="57" l="1"/>
  <c r="J243" i="57"/>
  <c r="F243" i="57"/>
  <c r="C227" i="57"/>
  <c r="C228" i="57" s="1"/>
  <c r="C231" i="57" s="1"/>
  <c r="F239" i="57"/>
  <c r="J239" i="57"/>
  <c r="H237" i="57"/>
  <c r="AH237" i="57" s="1"/>
  <c r="F247" i="57"/>
  <c r="J247" i="57"/>
  <c r="F245" i="57"/>
  <c r="J245" i="57"/>
  <c r="J244" i="57"/>
  <c r="F244" i="57"/>
  <c r="H246" i="57"/>
  <c r="AH246" i="57" s="1"/>
  <c r="J238" i="57"/>
  <c r="F238" i="57"/>
  <c r="H240" i="57"/>
  <c r="AH240" i="57" s="1"/>
  <c r="H242" i="57"/>
  <c r="AH242" i="57" s="1"/>
  <c r="F241" i="57"/>
  <c r="J241" i="57"/>
  <c r="J236" i="57"/>
  <c r="F236" i="57"/>
  <c r="E248" i="57"/>
  <c r="F255" i="56"/>
  <c r="K246" i="56"/>
  <c r="H246" i="56"/>
  <c r="F244" i="56"/>
  <c r="K244" i="56" s="1"/>
  <c r="F253" i="56"/>
  <c r="K253" i="56" s="1"/>
  <c r="F247" i="56"/>
  <c r="K247" i="56" s="1"/>
  <c r="F250" i="56"/>
  <c r="E250" i="56" s="1"/>
  <c r="F248" i="56"/>
  <c r="K248" i="56" s="1"/>
  <c r="Q231" i="56"/>
  <c r="K255" i="56"/>
  <c r="E255" i="56"/>
  <c r="E253" i="56"/>
  <c r="F249" i="56"/>
  <c r="F251" i="56"/>
  <c r="F252" i="56"/>
  <c r="K254" i="56"/>
  <c r="E254" i="56"/>
  <c r="E245" i="56"/>
  <c r="K245" i="56"/>
  <c r="O269" i="55"/>
  <c r="AF39" i="55" s="1"/>
  <c r="Q271" i="55"/>
  <c r="Q267" i="55"/>
  <c r="Q270" i="55"/>
  <c r="Q269" i="55"/>
  <c r="O270" i="55"/>
  <c r="AF40" i="55" s="1"/>
  <c r="O267" i="55"/>
  <c r="AF37" i="55" s="1"/>
  <c r="Q262" i="55"/>
  <c r="O262" i="55"/>
  <c r="AF32" i="55" s="1"/>
  <c r="Q261" i="55"/>
  <c r="O261" i="55"/>
  <c r="AF31" i="55" s="1"/>
  <c r="O266" i="55"/>
  <c r="AF36" i="55" s="1"/>
  <c r="Q266" i="55"/>
  <c r="O271" i="55"/>
  <c r="AF41" i="55" s="1"/>
  <c r="O264" i="55"/>
  <c r="AF34" i="55" s="1"/>
  <c r="Q264" i="55"/>
  <c r="Q263" i="55"/>
  <c r="O263" i="55"/>
  <c r="AF33" i="55" s="1"/>
  <c r="Q265" i="55"/>
  <c r="O265" i="55"/>
  <c r="AF35" i="55" s="1"/>
  <c r="N260" i="55"/>
  <c r="M272" i="55"/>
  <c r="O268" i="55"/>
  <c r="AF38" i="55" s="1"/>
  <c r="Q268" i="55"/>
  <c r="E244" i="56" l="1"/>
  <c r="G237" i="57"/>
  <c r="BJ12" i="57"/>
  <c r="N9" i="59" s="1"/>
  <c r="H236" i="57"/>
  <c r="AH236" i="57" s="1"/>
  <c r="F248" i="57"/>
  <c r="S244" i="57" s="1"/>
  <c r="G240" i="57"/>
  <c r="BJ15" i="57"/>
  <c r="N12" i="59" s="1"/>
  <c r="H239" i="57"/>
  <c r="AH239" i="57" s="1"/>
  <c r="H244" i="57"/>
  <c r="AH244" i="57" s="1"/>
  <c r="H238" i="57"/>
  <c r="AH238" i="57" s="1"/>
  <c r="H241" i="57"/>
  <c r="AH241" i="57" s="1"/>
  <c r="H247" i="57"/>
  <c r="AH247" i="57" s="1"/>
  <c r="H243" i="57"/>
  <c r="AH243" i="57" s="1"/>
  <c r="J248" i="57"/>
  <c r="H245" i="57"/>
  <c r="AH245" i="57" s="1"/>
  <c r="J249" i="57"/>
  <c r="G242" i="57"/>
  <c r="BJ17" i="57"/>
  <c r="N14" i="59" s="1"/>
  <c r="G246" i="57"/>
  <c r="BJ21" i="57"/>
  <c r="N18" i="59" s="1"/>
  <c r="E247" i="56"/>
  <c r="H247" i="56" s="1"/>
  <c r="E292" i="55"/>
  <c r="F292" i="55" s="1"/>
  <c r="E294" i="55"/>
  <c r="F294" i="55" s="1"/>
  <c r="E296" i="55"/>
  <c r="F296" i="55" s="1"/>
  <c r="E295" i="55"/>
  <c r="F295" i="55" s="1"/>
  <c r="H250" i="56"/>
  <c r="H253" i="56"/>
  <c r="G253" i="56" s="1"/>
  <c r="H255" i="56"/>
  <c r="G255" i="56" s="1"/>
  <c r="H254" i="56"/>
  <c r="I254" i="56" s="1"/>
  <c r="G246" i="56"/>
  <c r="AE13" i="56"/>
  <c r="I246" i="56"/>
  <c r="K250" i="56"/>
  <c r="H245" i="56"/>
  <c r="AE12" i="56" s="1"/>
  <c r="E248" i="56"/>
  <c r="F257" i="56"/>
  <c r="AE20" i="56"/>
  <c r="H244" i="56"/>
  <c r="E249" i="56"/>
  <c r="K249" i="56"/>
  <c r="AE17" i="56"/>
  <c r="G250" i="56"/>
  <c r="I250" i="56"/>
  <c r="E252" i="56"/>
  <c r="K252" i="56"/>
  <c r="E251" i="56"/>
  <c r="K251" i="56"/>
  <c r="E291" i="55"/>
  <c r="F291" i="55" s="1"/>
  <c r="E290" i="55"/>
  <c r="F290" i="55" s="1"/>
  <c r="E286" i="55"/>
  <c r="F286" i="55" s="1"/>
  <c r="J292" i="55"/>
  <c r="E288" i="55"/>
  <c r="F288" i="55" s="1"/>
  <c r="E293" i="55"/>
  <c r="F293" i="55" s="1"/>
  <c r="E289" i="55"/>
  <c r="F289" i="55" s="1"/>
  <c r="E287" i="55"/>
  <c r="F287" i="55" s="1"/>
  <c r="Q260" i="55"/>
  <c r="N272" i="55"/>
  <c r="O260" i="55"/>
  <c r="AF30" i="55" s="1"/>
  <c r="I247" i="56" l="1"/>
  <c r="AE14" i="56"/>
  <c r="S238" i="57"/>
  <c r="U238" i="57" s="1"/>
  <c r="U244" i="57"/>
  <c r="S243" i="57"/>
  <c r="U243" i="57" s="1"/>
  <c r="S236" i="57"/>
  <c r="U236" i="57" s="1"/>
  <c r="S241" i="57"/>
  <c r="U241" i="57" s="1"/>
  <c r="S239" i="57"/>
  <c r="U239" i="57" s="1"/>
  <c r="G241" i="57"/>
  <c r="BJ16" i="57"/>
  <c r="N13" i="59" s="1"/>
  <c r="G244" i="57"/>
  <c r="BJ19" i="57"/>
  <c r="N16" i="59" s="1"/>
  <c r="H248" i="57"/>
  <c r="AH248" i="57" s="1"/>
  <c r="S237" i="57"/>
  <c r="U237" i="57" s="1"/>
  <c r="S240" i="57"/>
  <c r="U240" i="57" s="1"/>
  <c r="S246" i="57"/>
  <c r="U246" i="57" s="1"/>
  <c r="S242" i="57"/>
  <c r="U242" i="57" s="1"/>
  <c r="G236" i="57"/>
  <c r="H249" i="57"/>
  <c r="O247" i="57" s="1"/>
  <c r="BJ11" i="57"/>
  <c r="N8" i="59" s="1"/>
  <c r="G243" i="57"/>
  <c r="BJ18" i="57"/>
  <c r="N15" i="59" s="1"/>
  <c r="BJ14" i="57"/>
  <c r="N11" i="59" s="1"/>
  <c r="G239" i="57"/>
  <c r="S245" i="57"/>
  <c r="U245" i="57" s="1"/>
  <c r="S247" i="57"/>
  <c r="U247" i="57" s="1"/>
  <c r="BJ13" i="57"/>
  <c r="N10" i="59" s="1"/>
  <c r="G238" i="57"/>
  <c r="BJ20" i="57"/>
  <c r="N17" i="59" s="1"/>
  <c r="G245" i="57"/>
  <c r="G247" i="57"/>
  <c r="BJ22" i="57"/>
  <c r="N19" i="59" s="1"/>
  <c r="G247" i="56"/>
  <c r="J294" i="55"/>
  <c r="J296" i="55"/>
  <c r="G245" i="56"/>
  <c r="H295" i="55"/>
  <c r="H296" i="55"/>
  <c r="H294" i="55"/>
  <c r="J295" i="55"/>
  <c r="H291" i="55"/>
  <c r="AG16" i="55" s="1"/>
  <c r="H287" i="55"/>
  <c r="AG12" i="55" s="1"/>
  <c r="H289" i="55"/>
  <c r="AG14" i="55" s="1"/>
  <c r="H293" i="55"/>
  <c r="AG18" i="55" s="1"/>
  <c r="H288" i="55"/>
  <c r="AG13" i="55" s="1"/>
  <c r="O272" i="55"/>
  <c r="H286" i="55"/>
  <c r="AG11" i="55" s="1"/>
  <c r="E285" i="55"/>
  <c r="F285" i="55" s="1"/>
  <c r="F297" i="55" s="1"/>
  <c r="H290" i="55"/>
  <c r="AG15" i="55" s="1"/>
  <c r="H292" i="55"/>
  <c r="AE22" i="56"/>
  <c r="I245" i="56"/>
  <c r="H249" i="56"/>
  <c r="G254" i="56"/>
  <c r="H252" i="56"/>
  <c r="G252" i="56" s="1"/>
  <c r="I255" i="56"/>
  <c r="H251" i="56"/>
  <c r="AE18" i="56" s="1"/>
  <c r="AE21" i="56"/>
  <c r="I253" i="56"/>
  <c r="H248" i="56"/>
  <c r="K257" i="56"/>
  <c r="E257" i="56"/>
  <c r="I244" i="56"/>
  <c r="G244" i="56"/>
  <c r="AE11" i="56"/>
  <c r="AE19" i="56"/>
  <c r="J287" i="55"/>
  <c r="J289" i="55"/>
  <c r="J293" i="55"/>
  <c r="J291" i="55"/>
  <c r="J286" i="55"/>
  <c r="J290" i="55"/>
  <c r="J288" i="55"/>
  <c r="Q272" i="55"/>
  <c r="O245" i="57" l="1"/>
  <c r="O239" i="57"/>
  <c r="O241" i="57"/>
  <c r="U248" i="57"/>
  <c r="O238" i="57"/>
  <c r="O243" i="57"/>
  <c r="G249" i="57"/>
  <c r="P238" i="57" s="1"/>
  <c r="G248" i="57"/>
  <c r="BJ23" i="57"/>
  <c r="N20" i="59" s="1"/>
  <c r="O236" i="57"/>
  <c r="O246" i="57"/>
  <c r="O240" i="57"/>
  <c r="O237" i="57"/>
  <c r="O242" i="57"/>
  <c r="O244" i="57"/>
  <c r="H258" i="56"/>
  <c r="G293" i="55"/>
  <c r="I249" i="56"/>
  <c r="G251" i="56"/>
  <c r="G249" i="56"/>
  <c r="AE16" i="56"/>
  <c r="G289" i="55"/>
  <c r="G287" i="55"/>
  <c r="G286" i="55"/>
  <c r="H285" i="55"/>
  <c r="G291" i="55"/>
  <c r="AG21" i="55"/>
  <c r="G296" i="55"/>
  <c r="H297" i="55"/>
  <c r="G297" i="55" s="1"/>
  <c r="G290" i="55"/>
  <c r="AG17" i="55"/>
  <c r="G292" i="55"/>
  <c r="G288" i="55"/>
  <c r="G294" i="55"/>
  <c r="AG19" i="55"/>
  <c r="C276" i="55"/>
  <c r="C277" i="55" s="1"/>
  <c r="C280" i="55" s="1"/>
  <c r="G295" i="55"/>
  <c r="AG20" i="55"/>
  <c r="I252" i="56"/>
  <c r="AE15" i="56"/>
  <c r="G248" i="56"/>
  <c r="G258" i="56" s="1"/>
  <c r="I248" i="56"/>
  <c r="I251" i="56"/>
  <c r="H257" i="56"/>
  <c r="G257" i="56" s="1"/>
  <c r="J285" i="55"/>
  <c r="J297" i="55" s="1"/>
  <c r="E297" i="55"/>
  <c r="Q238" i="57" l="1"/>
  <c r="AB238" i="57" s="1"/>
  <c r="AZ238" i="57" s="1"/>
  <c r="L252" i="56"/>
  <c r="AE23" i="56"/>
  <c r="P244" i="57"/>
  <c r="Q244" i="57" s="1"/>
  <c r="AB244" i="57" s="1"/>
  <c r="AZ244" i="57" s="1"/>
  <c r="P241" i="57"/>
  <c r="Q241" i="57" s="1"/>
  <c r="AB241" i="57" s="1"/>
  <c r="P236" i="57"/>
  <c r="Q236" i="57" s="1"/>
  <c r="P240" i="57"/>
  <c r="Q240" i="57" s="1"/>
  <c r="AB240" i="57" s="1"/>
  <c r="AZ240" i="57" s="1"/>
  <c r="P246" i="57"/>
  <c r="Q246" i="57" s="1"/>
  <c r="AB246" i="57" s="1"/>
  <c r="AZ246" i="57" s="1"/>
  <c r="P237" i="57"/>
  <c r="Q237" i="57" s="1"/>
  <c r="AB237" i="57" s="1"/>
  <c r="AZ237" i="57" s="1"/>
  <c r="P242" i="57"/>
  <c r="Q242" i="57" s="1"/>
  <c r="AB242" i="57" s="1"/>
  <c r="AZ242" i="57" s="1"/>
  <c r="P239" i="57"/>
  <c r="Q239" i="57" s="1"/>
  <c r="AB239" i="57" s="1"/>
  <c r="AZ239" i="57" s="1"/>
  <c r="P247" i="57"/>
  <c r="Q247" i="57" s="1"/>
  <c r="AB247" i="57" s="1"/>
  <c r="AZ247" i="57" s="1"/>
  <c r="P245" i="57"/>
  <c r="Q245" i="57" s="1"/>
  <c r="AB245" i="57" s="1"/>
  <c r="AZ245" i="57" s="1"/>
  <c r="P243" i="57"/>
  <c r="Q243" i="57" s="1"/>
  <c r="AB243" i="57" s="1"/>
  <c r="AZ243" i="57" s="1"/>
  <c r="H236" i="56"/>
  <c r="L244" i="56"/>
  <c r="L255" i="56"/>
  <c r="L247" i="56"/>
  <c r="L251" i="56"/>
  <c r="L249" i="56"/>
  <c r="H237" i="56"/>
  <c r="L254" i="56"/>
  <c r="AG22" i="55"/>
  <c r="AG10" i="55"/>
  <c r="G285" i="55"/>
  <c r="G298" i="55" s="1"/>
  <c r="L285" i="55" s="1"/>
  <c r="H298" i="55"/>
  <c r="L248" i="56"/>
  <c r="L250" i="56"/>
  <c r="L246" i="56"/>
  <c r="H238" i="56"/>
  <c r="L245" i="56"/>
  <c r="L253" i="56"/>
  <c r="J298" i="55"/>
  <c r="AD238" i="57" l="1"/>
  <c r="BO33" i="57" s="1"/>
  <c r="N26" i="59" s="1"/>
  <c r="I236" i="56"/>
  <c r="J236" i="56" s="1"/>
  <c r="AZ241" i="57"/>
  <c r="E266" i="57" s="1"/>
  <c r="AD241" i="57"/>
  <c r="BO36" i="57" s="1"/>
  <c r="N29" i="59" s="1"/>
  <c r="AD242" i="57"/>
  <c r="BO37" i="57" s="1"/>
  <c r="N30" i="59" s="1"/>
  <c r="AD240" i="57"/>
  <c r="BO35" i="57" s="1"/>
  <c r="N28" i="59" s="1"/>
  <c r="AD239" i="57"/>
  <c r="BO34" i="57" s="1"/>
  <c r="N27" i="59" s="1"/>
  <c r="Q248" i="57"/>
  <c r="AB236" i="57"/>
  <c r="AZ236" i="57" s="1"/>
  <c r="AD244" i="57"/>
  <c r="BO39" i="57" s="1"/>
  <c r="N32" i="59" s="1"/>
  <c r="AD237" i="57"/>
  <c r="BO32" i="57" s="1"/>
  <c r="N25" i="59" s="1"/>
  <c r="AD243" i="57"/>
  <c r="BO38" i="57" s="1"/>
  <c r="N31" i="59" s="1"/>
  <c r="E263" i="57"/>
  <c r="AD246" i="57"/>
  <c r="BO41" i="57" s="1"/>
  <c r="N34" i="59" s="1"/>
  <c r="AD245" i="57"/>
  <c r="BO40" i="57" s="1"/>
  <c r="N33" i="59" s="1"/>
  <c r="AD247" i="57"/>
  <c r="BO42" i="57" s="1"/>
  <c r="N35" i="59" s="1"/>
  <c r="I238" i="56"/>
  <c r="J238" i="56" s="1"/>
  <c r="L295" i="55"/>
  <c r="L293" i="55"/>
  <c r="L294" i="55"/>
  <c r="L292" i="55"/>
  <c r="L296" i="55"/>
  <c r="L291" i="55"/>
  <c r="L286" i="55"/>
  <c r="L289" i="55"/>
  <c r="L287" i="55"/>
  <c r="K293" i="55"/>
  <c r="M293" i="55" s="1"/>
  <c r="N293" i="55" s="1"/>
  <c r="K291" i="55"/>
  <c r="M291" i="55" s="1"/>
  <c r="N291" i="55" s="1"/>
  <c r="K294" i="55"/>
  <c r="M294" i="55" s="1"/>
  <c r="N294" i="55" s="1"/>
  <c r="K289" i="55"/>
  <c r="M289" i="55" s="1"/>
  <c r="N289" i="55" s="1"/>
  <c r="K296" i="55"/>
  <c r="M296" i="55" s="1"/>
  <c r="N296" i="55" s="1"/>
  <c r="K292" i="55"/>
  <c r="M292" i="55" s="1"/>
  <c r="N292" i="55" s="1"/>
  <c r="K287" i="55"/>
  <c r="M287" i="55" s="1"/>
  <c r="N287" i="55" s="1"/>
  <c r="K285" i="55"/>
  <c r="M285" i="55" s="1"/>
  <c r="K295" i="55"/>
  <c r="M295" i="55" s="1"/>
  <c r="N295" i="55" s="1"/>
  <c r="K290" i="55"/>
  <c r="M290" i="55" s="1"/>
  <c r="N290" i="55" s="1"/>
  <c r="K286" i="55"/>
  <c r="M286" i="55" s="1"/>
  <c r="N286" i="55" s="1"/>
  <c r="K288" i="55"/>
  <c r="M288" i="55" s="1"/>
  <c r="N288" i="55" s="1"/>
  <c r="L290" i="55"/>
  <c r="L288" i="55"/>
  <c r="I237" i="56"/>
  <c r="J237" i="56" s="1"/>
  <c r="M247" i="56" s="1"/>
  <c r="O247" i="56" s="1"/>
  <c r="AE34" i="56" s="1"/>
  <c r="M254" i="56"/>
  <c r="M250" i="56"/>
  <c r="M246" i="56"/>
  <c r="M253" i="56"/>
  <c r="M244" i="56"/>
  <c r="AZ248" i="57" l="1"/>
  <c r="M252" i="56"/>
  <c r="E272" i="57"/>
  <c r="J266" i="57"/>
  <c r="F266" i="57"/>
  <c r="E271" i="57"/>
  <c r="E262" i="57"/>
  <c r="E265" i="57"/>
  <c r="E269" i="57"/>
  <c r="E270" i="57"/>
  <c r="E268" i="57"/>
  <c r="AD236" i="57"/>
  <c r="BO31" i="57" s="1"/>
  <c r="N24" i="59" s="1"/>
  <c r="AB248" i="57"/>
  <c r="E267" i="57"/>
  <c r="J263" i="57"/>
  <c r="F263" i="57"/>
  <c r="E264" i="57"/>
  <c r="M255" i="56"/>
  <c r="M249" i="56"/>
  <c r="M248" i="56"/>
  <c r="M251" i="56"/>
  <c r="M245" i="56"/>
  <c r="O250" i="56"/>
  <c r="AE37" i="56" s="1"/>
  <c r="O254" i="56"/>
  <c r="AE41" i="56" s="1"/>
  <c r="Q247" i="56"/>
  <c r="Q254" i="56"/>
  <c r="Q250" i="56"/>
  <c r="O246" i="56"/>
  <c r="AE33" i="56" s="1"/>
  <c r="Q246" i="56"/>
  <c r="O244" i="56"/>
  <c r="AE31" i="56" s="1"/>
  <c r="Q244" i="56"/>
  <c r="O253" i="56"/>
  <c r="AE40" i="56" s="1"/>
  <c r="Q253" i="56"/>
  <c r="Q255" i="56"/>
  <c r="O255" i="56"/>
  <c r="AE42" i="56" s="1"/>
  <c r="Q249" i="56"/>
  <c r="O249" i="56"/>
  <c r="AE36" i="56" s="1"/>
  <c r="O252" i="56"/>
  <c r="AE39" i="56" s="1"/>
  <c r="Q252" i="56"/>
  <c r="Q293" i="55"/>
  <c r="O293" i="55"/>
  <c r="AG38" i="55" s="1"/>
  <c r="Q288" i="55"/>
  <c r="O288" i="55"/>
  <c r="AG33" i="55" s="1"/>
  <c r="O296" i="55"/>
  <c r="AG41" i="55" s="1"/>
  <c r="Q296" i="55"/>
  <c r="Q294" i="55"/>
  <c r="O294" i="55"/>
  <c r="AG39" i="55" s="1"/>
  <c r="O287" i="55"/>
  <c r="AG32" i="55" s="1"/>
  <c r="Q287" i="55"/>
  <c r="M297" i="55"/>
  <c r="N285" i="55"/>
  <c r="O290" i="55"/>
  <c r="AG35" i="55" s="1"/>
  <c r="Q290" i="55"/>
  <c r="Q286" i="55"/>
  <c r="O286" i="55"/>
  <c r="AG31" i="55" s="1"/>
  <c r="Q292" i="55"/>
  <c r="O292" i="55"/>
  <c r="AG37" i="55" s="1"/>
  <c r="O289" i="55"/>
  <c r="AG34" i="55" s="1"/>
  <c r="Q289" i="55"/>
  <c r="Q295" i="55"/>
  <c r="O295" i="55"/>
  <c r="AG40" i="55" s="1"/>
  <c r="O291" i="55"/>
  <c r="AG36" i="55" s="1"/>
  <c r="Q291" i="55"/>
  <c r="N246" i="56" l="1"/>
  <c r="O248" i="56"/>
  <c r="AE35" i="56" s="1"/>
  <c r="N244" i="56"/>
  <c r="N254" i="56"/>
  <c r="Q248" i="56"/>
  <c r="N250" i="56"/>
  <c r="J268" i="57"/>
  <c r="F268" i="57"/>
  <c r="J271" i="57"/>
  <c r="F271" i="57"/>
  <c r="E261" i="57"/>
  <c r="F269" i="57"/>
  <c r="J269" i="57"/>
  <c r="H263" i="57"/>
  <c r="AH263" i="57" s="1"/>
  <c r="F262" i="57"/>
  <c r="J262" i="57"/>
  <c r="J270" i="57"/>
  <c r="F270" i="57"/>
  <c r="F267" i="57"/>
  <c r="J267" i="57"/>
  <c r="J264" i="57"/>
  <c r="F264" i="57"/>
  <c r="AD248" i="57"/>
  <c r="H266" i="57"/>
  <c r="AH266" i="57" s="1"/>
  <c r="J265" i="57"/>
  <c r="F265" i="57"/>
  <c r="F272" i="57"/>
  <c r="J272" i="57"/>
  <c r="N248" i="56"/>
  <c r="Q245" i="56"/>
  <c r="N245" i="56"/>
  <c r="O245" i="56"/>
  <c r="AE32" i="56" s="1"/>
  <c r="O251" i="56"/>
  <c r="AE38" i="56" s="1"/>
  <c r="N255" i="56"/>
  <c r="N251" i="56"/>
  <c r="N252" i="56"/>
  <c r="Q251" i="56"/>
  <c r="M257" i="56"/>
  <c r="N249" i="56"/>
  <c r="N253" i="56"/>
  <c r="N247" i="56"/>
  <c r="F273" i="56"/>
  <c r="F280" i="56"/>
  <c r="K280" i="56" s="1"/>
  <c r="F276" i="56"/>
  <c r="F272" i="56"/>
  <c r="F278" i="56"/>
  <c r="F281" i="56"/>
  <c r="F271" i="56"/>
  <c r="F279" i="56"/>
  <c r="F275" i="56"/>
  <c r="F270" i="56"/>
  <c r="E319" i="55"/>
  <c r="F319" i="55" s="1"/>
  <c r="E321" i="55"/>
  <c r="F321" i="55" s="1"/>
  <c r="E314" i="55"/>
  <c r="F314" i="55" s="1"/>
  <c r="E312" i="55"/>
  <c r="F312" i="55" s="1"/>
  <c r="E316" i="55"/>
  <c r="F316" i="55" s="1"/>
  <c r="E311" i="55"/>
  <c r="F311" i="55" s="1"/>
  <c r="E315" i="55"/>
  <c r="F315" i="55" s="1"/>
  <c r="E320" i="55"/>
  <c r="F320" i="55" s="1"/>
  <c r="E313" i="55"/>
  <c r="F313" i="55" s="1"/>
  <c r="E317" i="55"/>
  <c r="F317" i="55" s="1"/>
  <c r="E318" i="55"/>
  <c r="F318" i="55" s="1"/>
  <c r="Q285" i="55"/>
  <c r="N297" i="55"/>
  <c r="O285" i="55"/>
  <c r="AG30" i="55" s="1"/>
  <c r="F274" i="56" l="1"/>
  <c r="H269" i="57"/>
  <c r="AH269" i="57" s="1"/>
  <c r="BK13" i="57"/>
  <c r="O10" i="59" s="1"/>
  <c r="G263" i="57"/>
  <c r="H267" i="57"/>
  <c r="AH267" i="57" s="1"/>
  <c r="C252" i="57"/>
  <c r="C253" i="57" s="1"/>
  <c r="C256" i="57" s="1"/>
  <c r="H262" i="57"/>
  <c r="AH262" i="57" s="1"/>
  <c r="F261" i="57"/>
  <c r="J261" i="57"/>
  <c r="E273" i="57"/>
  <c r="H272" i="57"/>
  <c r="AH272" i="57" s="1"/>
  <c r="H264" i="57"/>
  <c r="AH264" i="57" s="1"/>
  <c r="H265" i="57"/>
  <c r="AH265" i="57" s="1"/>
  <c r="H271" i="57"/>
  <c r="AH271" i="57" s="1"/>
  <c r="H268" i="57"/>
  <c r="AH268" i="57" s="1"/>
  <c r="BK16" i="57"/>
  <c r="O13" i="59" s="1"/>
  <c r="G266" i="57"/>
  <c r="H270" i="57"/>
  <c r="AH270" i="57" s="1"/>
  <c r="F277" i="56"/>
  <c r="E277" i="56" s="1"/>
  <c r="Q257" i="56"/>
  <c r="E280" i="56"/>
  <c r="H280" i="56" s="1"/>
  <c r="G280" i="56" s="1"/>
  <c r="H312" i="55"/>
  <c r="G312" i="55" s="1"/>
  <c r="H318" i="55"/>
  <c r="G318" i="55" s="1"/>
  <c r="H321" i="55"/>
  <c r="G321" i="55" s="1"/>
  <c r="H315" i="55"/>
  <c r="G315" i="55" s="1"/>
  <c r="E310" i="55"/>
  <c r="F310" i="55" s="1"/>
  <c r="H314" i="55"/>
  <c r="AH14" i="55" s="1"/>
  <c r="H317" i="55"/>
  <c r="G317" i="55" s="1"/>
  <c r="H313" i="55"/>
  <c r="G313" i="55" s="1"/>
  <c r="H319" i="55"/>
  <c r="G319" i="55" s="1"/>
  <c r="H320" i="55"/>
  <c r="G320" i="55" s="1"/>
  <c r="H311" i="55"/>
  <c r="G311" i="55" s="1"/>
  <c r="O297" i="55"/>
  <c r="H316" i="55"/>
  <c r="G316" i="55" s="1"/>
  <c r="K273" i="56"/>
  <c r="E273" i="56"/>
  <c r="E276" i="56"/>
  <c r="K276" i="56"/>
  <c r="K274" i="56"/>
  <c r="E274" i="56"/>
  <c r="E272" i="56"/>
  <c r="K272" i="56"/>
  <c r="E271" i="56"/>
  <c r="K271" i="56"/>
  <c r="E279" i="56"/>
  <c r="K279" i="56"/>
  <c r="K270" i="56"/>
  <c r="E270" i="56"/>
  <c r="F283" i="56"/>
  <c r="E281" i="56"/>
  <c r="K281" i="56"/>
  <c r="K275" i="56"/>
  <c r="E275" i="56"/>
  <c r="K278" i="56"/>
  <c r="E278" i="56"/>
  <c r="J312" i="55"/>
  <c r="J320" i="55"/>
  <c r="J314" i="55"/>
  <c r="J317" i="55"/>
  <c r="J315" i="55"/>
  <c r="J318" i="55"/>
  <c r="J311" i="55"/>
  <c r="J321" i="55"/>
  <c r="J313" i="55"/>
  <c r="J316" i="55"/>
  <c r="J319" i="55"/>
  <c r="Q297" i="55"/>
  <c r="J274" i="57" l="1"/>
  <c r="K277" i="56"/>
  <c r="F322" i="55"/>
  <c r="G271" i="57"/>
  <c r="BK21" i="57"/>
  <c r="O18" i="59" s="1"/>
  <c r="G262" i="57"/>
  <c r="BK12" i="57"/>
  <c r="O9" i="59" s="1"/>
  <c r="G272" i="57"/>
  <c r="BK22" i="57"/>
  <c r="O19" i="59" s="1"/>
  <c r="G268" i="57"/>
  <c r="BK18" i="57"/>
  <c r="O15" i="59" s="1"/>
  <c r="G265" i="57"/>
  <c r="BK15" i="57"/>
  <c r="O12" i="59" s="1"/>
  <c r="G270" i="57"/>
  <c r="BK20" i="57"/>
  <c r="O17" i="59" s="1"/>
  <c r="J273" i="57"/>
  <c r="H261" i="57"/>
  <c r="AH261" i="57" s="1"/>
  <c r="F273" i="57"/>
  <c r="S261" i="57" s="1"/>
  <c r="G267" i="57"/>
  <c r="BK17" i="57"/>
  <c r="O14" i="59" s="1"/>
  <c r="BK19" i="57"/>
  <c r="O16" i="59" s="1"/>
  <c r="G269" i="57"/>
  <c r="BK14" i="57"/>
  <c r="O11" i="59" s="1"/>
  <c r="G264" i="57"/>
  <c r="AH12" i="55"/>
  <c r="AH16" i="55"/>
  <c r="H310" i="55"/>
  <c r="G310" i="55" s="1"/>
  <c r="G314" i="55"/>
  <c r="G323" i="55" s="1"/>
  <c r="L310" i="55" s="1"/>
  <c r="AH18" i="55"/>
  <c r="AH19" i="55"/>
  <c r="AH11" i="55"/>
  <c r="AH20" i="55"/>
  <c r="AH21" i="55"/>
  <c r="AH17" i="55"/>
  <c r="C301" i="55"/>
  <c r="C302" i="55" s="1"/>
  <c r="C305" i="55" s="1"/>
  <c r="AH13" i="55"/>
  <c r="AH15" i="55"/>
  <c r="H322" i="55"/>
  <c r="G322" i="55" s="1"/>
  <c r="H278" i="56"/>
  <c r="I278" i="56" s="1"/>
  <c r="H272" i="56"/>
  <c r="I272" i="56" s="1"/>
  <c r="H274" i="56"/>
  <c r="I274" i="56" s="1"/>
  <c r="H275" i="56"/>
  <c r="AF16" i="56" s="1"/>
  <c r="H276" i="56"/>
  <c r="AF17" i="56" s="1"/>
  <c r="H271" i="56"/>
  <c r="G271" i="56" s="1"/>
  <c r="H277" i="56"/>
  <c r="G277" i="56" s="1"/>
  <c r="H279" i="56"/>
  <c r="I279" i="56" s="1"/>
  <c r="H273" i="56"/>
  <c r="H281" i="56"/>
  <c r="AF22" i="56" s="1"/>
  <c r="AF21" i="56"/>
  <c r="I280" i="56"/>
  <c r="K283" i="56"/>
  <c r="G278" i="56"/>
  <c r="H270" i="56"/>
  <c r="E283" i="56"/>
  <c r="AH10" i="55"/>
  <c r="H323" i="55"/>
  <c r="K310" i="55" s="1"/>
  <c r="J310" i="55"/>
  <c r="E322" i="55"/>
  <c r="U261" i="57" l="1"/>
  <c r="H273" i="57"/>
  <c r="AH273" i="57" s="1"/>
  <c r="S266" i="57"/>
  <c r="U266" i="57" s="1"/>
  <c r="S263" i="57"/>
  <c r="U263" i="57" s="1"/>
  <c r="S262" i="57"/>
  <c r="U262" i="57" s="1"/>
  <c r="S271" i="57"/>
  <c r="U271" i="57" s="1"/>
  <c r="S264" i="57"/>
  <c r="U264" i="57" s="1"/>
  <c r="S269" i="57"/>
  <c r="U269" i="57" s="1"/>
  <c r="S267" i="57"/>
  <c r="U267" i="57" s="1"/>
  <c r="S270" i="57"/>
  <c r="U270" i="57" s="1"/>
  <c r="S265" i="57"/>
  <c r="U265" i="57" s="1"/>
  <c r="S268" i="57"/>
  <c r="U268" i="57" s="1"/>
  <c r="S272" i="57"/>
  <c r="U272" i="57" s="1"/>
  <c r="H274" i="57"/>
  <c r="G261" i="57"/>
  <c r="BK11" i="57"/>
  <c r="O8" i="59" s="1"/>
  <c r="I281" i="56"/>
  <c r="AF12" i="56"/>
  <c r="I277" i="56"/>
  <c r="AF13" i="56"/>
  <c r="G272" i="56"/>
  <c r="AF18" i="56"/>
  <c r="I276" i="56"/>
  <c r="I271" i="56"/>
  <c r="G276" i="56"/>
  <c r="AF19" i="56"/>
  <c r="AH22" i="55"/>
  <c r="I275" i="56"/>
  <c r="AF20" i="56"/>
  <c r="AF15" i="56"/>
  <c r="G275" i="56"/>
  <c r="G279" i="56"/>
  <c r="G274" i="56"/>
  <c r="G281" i="56"/>
  <c r="H283" i="56"/>
  <c r="G283" i="56" s="1"/>
  <c r="G273" i="56"/>
  <c r="AF14" i="56"/>
  <c r="I273" i="56"/>
  <c r="AF11" i="56"/>
  <c r="I270" i="56"/>
  <c r="G270" i="56"/>
  <c r="H284" i="56"/>
  <c r="K317" i="55"/>
  <c r="K314" i="55"/>
  <c r="K319" i="55"/>
  <c r="K321" i="55"/>
  <c r="K320" i="55"/>
  <c r="K311" i="55"/>
  <c r="K316" i="55"/>
  <c r="K318" i="55"/>
  <c r="K313" i="55"/>
  <c r="K312" i="55"/>
  <c r="K315" i="55"/>
  <c r="L311" i="55"/>
  <c r="L317" i="55"/>
  <c r="L321" i="55"/>
  <c r="L320" i="55"/>
  <c r="L316" i="55"/>
  <c r="L313" i="55"/>
  <c r="L315" i="55"/>
  <c r="L312" i="55"/>
  <c r="L314" i="55"/>
  <c r="L318" i="55"/>
  <c r="L319" i="55"/>
  <c r="J322" i="55"/>
  <c r="J323" i="55"/>
  <c r="U273" i="57" l="1"/>
  <c r="O266" i="57"/>
  <c r="O263" i="57"/>
  <c r="O269" i="57"/>
  <c r="O271" i="57"/>
  <c r="O265" i="57"/>
  <c r="O270" i="57"/>
  <c r="O267" i="57"/>
  <c r="O272" i="57"/>
  <c r="O264" i="57"/>
  <c r="O262" i="57"/>
  <c r="O268" i="57"/>
  <c r="O261" i="57"/>
  <c r="BK23" i="57"/>
  <c r="O20" i="59" s="1"/>
  <c r="G273" i="57"/>
  <c r="G274" i="57"/>
  <c r="P261" i="57" s="1"/>
  <c r="AF23" i="56"/>
  <c r="G284" i="56"/>
  <c r="L277" i="56"/>
  <c r="L279" i="56"/>
  <c r="L271" i="56"/>
  <c r="L275" i="56"/>
  <c r="L281" i="56"/>
  <c r="L270" i="56"/>
  <c r="L278" i="56"/>
  <c r="H262" i="56"/>
  <c r="L273" i="56"/>
  <c r="H263" i="56"/>
  <c r="L272" i="56"/>
  <c r="H264" i="56"/>
  <c r="L274" i="56"/>
  <c r="L280" i="56"/>
  <c r="L276" i="56"/>
  <c r="M311" i="55"/>
  <c r="N311" i="55" s="1"/>
  <c r="M318" i="55"/>
  <c r="N318" i="55" s="1"/>
  <c r="M321" i="55"/>
  <c r="N321" i="55" s="1"/>
  <c r="M317" i="55"/>
  <c r="N317" i="55" s="1"/>
  <c r="M313" i="55"/>
  <c r="N313" i="55" s="1"/>
  <c r="M320" i="55"/>
  <c r="N320" i="55" s="1"/>
  <c r="M312" i="55"/>
  <c r="N312" i="55" s="1"/>
  <c r="M316" i="55"/>
  <c r="N316" i="55" s="1"/>
  <c r="M314" i="55"/>
  <c r="N314" i="55" s="1"/>
  <c r="M310" i="55"/>
  <c r="M315" i="55"/>
  <c r="N315" i="55" s="1"/>
  <c r="M319" i="55"/>
  <c r="N319" i="55" s="1"/>
  <c r="Q261" i="57" l="1"/>
  <c r="AB261" i="57" s="1"/>
  <c r="AZ261" i="57" s="1"/>
  <c r="P266" i="57"/>
  <c r="Q266" i="57" s="1"/>
  <c r="AB266" i="57" s="1"/>
  <c r="AZ266" i="57" s="1"/>
  <c r="P263" i="57"/>
  <c r="Q263" i="57" s="1"/>
  <c r="AB263" i="57" s="1"/>
  <c r="AZ263" i="57" s="1"/>
  <c r="P269" i="57"/>
  <c r="Q269" i="57" s="1"/>
  <c r="AB269" i="57" s="1"/>
  <c r="AZ269" i="57" s="1"/>
  <c r="P264" i="57"/>
  <c r="Q264" i="57" s="1"/>
  <c r="AB264" i="57" s="1"/>
  <c r="AZ264" i="57" s="1"/>
  <c r="P270" i="57"/>
  <c r="Q270" i="57" s="1"/>
  <c r="AB270" i="57" s="1"/>
  <c r="AZ270" i="57" s="1"/>
  <c r="P262" i="57"/>
  <c r="Q262" i="57" s="1"/>
  <c r="P265" i="57"/>
  <c r="Q265" i="57" s="1"/>
  <c r="AB265" i="57" s="1"/>
  <c r="AZ265" i="57" s="1"/>
  <c r="P268" i="57"/>
  <c r="Q268" i="57" s="1"/>
  <c r="AB268" i="57" s="1"/>
  <c r="AZ268" i="57" s="1"/>
  <c r="P271" i="57"/>
  <c r="Q271" i="57" s="1"/>
  <c r="AB271" i="57" s="1"/>
  <c r="AZ271" i="57" s="1"/>
  <c r="P267" i="57"/>
  <c r="Q267" i="57" s="1"/>
  <c r="AB267" i="57" s="1"/>
  <c r="AZ267" i="57" s="1"/>
  <c r="P272" i="57"/>
  <c r="Q272" i="57" s="1"/>
  <c r="AB272" i="57" s="1"/>
  <c r="AZ272" i="57" s="1"/>
  <c r="I262" i="56"/>
  <c r="J262" i="56" s="1"/>
  <c r="I263" i="56"/>
  <c r="J263" i="56" s="1"/>
  <c r="I264" i="56"/>
  <c r="J264" i="56" s="1"/>
  <c r="Q312" i="55"/>
  <c r="O312" i="55"/>
  <c r="AH32" i="55" s="1"/>
  <c r="O319" i="55"/>
  <c r="AH39" i="55" s="1"/>
  <c r="Q319" i="55"/>
  <c r="Q316" i="55"/>
  <c r="O316" i="55"/>
  <c r="AH36" i="55" s="1"/>
  <c r="Q320" i="55"/>
  <c r="O320" i="55"/>
  <c r="AH40" i="55" s="1"/>
  <c r="Q313" i="55"/>
  <c r="O313" i="55"/>
  <c r="AH33" i="55" s="1"/>
  <c r="Q317" i="55"/>
  <c r="O317" i="55"/>
  <c r="AH37" i="55" s="1"/>
  <c r="O315" i="55"/>
  <c r="AH35" i="55" s="1"/>
  <c r="Q315" i="55"/>
  <c r="Q321" i="55"/>
  <c r="O321" i="55"/>
  <c r="AH41" i="55" s="1"/>
  <c r="N310" i="55"/>
  <c r="M322" i="55"/>
  <c r="Q318" i="55"/>
  <c r="O318" i="55"/>
  <c r="AH38" i="55" s="1"/>
  <c r="O314" i="55"/>
  <c r="AH34" i="55" s="1"/>
  <c r="Q314" i="55"/>
  <c r="Q311" i="55"/>
  <c r="O311" i="55"/>
  <c r="AH31" i="55" s="1"/>
  <c r="AD265" i="57" l="1"/>
  <c r="BP35" i="57" s="1"/>
  <c r="O28" i="59" s="1"/>
  <c r="AB262" i="57"/>
  <c r="AZ262" i="57" s="1"/>
  <c r="AZ273" i="57" s="1"/>
  <c r="Q273" i="57"/>
  <c r="AD271" i="57"/>
  <c r="BP41" i="57" s="1"/>
  <c r="O34" i="59" s="1"/>
  <c r="AD266" i="57"/>
  <c r="BP36" i="57" s="1"/>
  <c r="O29" i="59" s="1"/>
  <c r="AD268" i="57"/>
  <c r="BP38" i="57" s="1"/>
  <c r="O31" i="59" s="1"/>
  <c r="AD272" i="57"/>
  <c r="BP42" i="57" s="1"/>
  <c r="O35" i="59" s="1"/>
  <c r="AD264" i="57"/>
  <c r="BP34" i="57" s="1"/>
  <c r="O27" i="59" s="1"/>
  <c r="AD269" i="57"/>
  <c r="BP39" i="57" s="1"/>
  <c r="O32" i="59" s="1"/>
  <c r="AD270" i="57"/>
  <c r="BP40" i="57" s="1"/>
  <c r="O33" i="59" s="1"/>
  <c r="AD263" i="57"/>
  <c r="BP33" i="57" s="1"/>
  <c r="O26" i="59" s="1"/>
  <c r="AD261" i="57"/>
  <c r="BP31" i="57" s="1"/>
  <c r="O24" i="59" s="1"/>
  <c r="AD267" i="57"/>
  <c r="BP37" i="57" s="1"/>
  <c r="O30" i="59" s="1"/>
  <c r="E341" i="55"/>
  <c r="E344" i="55"/>
  <c r="J344" i="55" s="1"/>
  <c r="E343" i="55"/>
  <c r="J343" i="55" s="1"/>
  <c r="E342" i="55"/>
  <c r="F342" i="55" s="1"/>
  <c r="E338" i="55"/>
  <c r="E337" i="55"/>
  <c r="F337" i="55" s="1"/>
  <c r="E336" i="55"/>
  <c r="J336" i="55" s="1"/>
  <c r="E346" i="55"/>
  <c r="J346" i="55" s="1"/>
  <c r="E345" i="55"/>
  <c r="E339" i="55"/>
  <c r="J339" i="55" s="1"/>
  <c r="E340" i="55"/>
  <c r="J340" i="55" s="1"/>
  <c r="M273" i="56"/>
  <c r="Q273" i="56" s="1"/>
  <c r="M278" i="56"/>
  <c r="M280" i="56"/>
  <c r="M272" i="56"/>
  <c r="M276" i="56"/>
  <c r="M281" i="56"/>
  <c r="M271" i="56"/>
  <c r="M270" i="56"/>
  <c r="M275" i="56"/>
  <c r="M279" i="56"/>
  <c r="M277" i="56"/>
  <c r="M274" i="56"/>
  <c r="F338" i="55"/>
  <c r="J338" i="55"/>
  <c r="F345" i="55"/>
  <c r="J345" i="55"/>
  <c r="F341" i="55"/>
  <c r="J341" i="55"/>
  <c r="N322" i="55"/>
  <c r="Q310" i="55"/>
  <c r="O310" i="55"/>
  <c r="AH30" i="55" s="1"/>
  <c r="E296" i="57" l="1"/>
  <c r="E294" i="57"/>
  <c r="E288" i="57"/>
  <c r="E286" i="57"/>
  <c r="E293" i="57"/>
  <c r="E289" i="57"/>
  <c r="AD262" i="57"/>
  <c r="BP32" i="57" s="1"/>
  <c r="O25" i="59" s="1"/>
  <c r="E295" i="57"/>
  <c r="E291" i="57"/>
  <c r="E292" i="57"/>
  <c r="E290" i="57"/>
  <c r="AB273" i="57"/>
  <c r="E297" i="57"/>
  <c r="F336" i="55"/>
  <c r="F340" i="55"/>
  <c r="F339" i="55"/>
  <c r="H339" i="55" s="1"/>
  <c r="J337" i="55"/>
  <c r="F346" i="55"/>
  <c r="F344" i="55"/>
  <c r="H342" i="55"/>
  <c r="G342" i="55" s="1"/>
  <c r="F343" i="55"/>
  <c r="H341" i="55"/>
  <c r="AI16" i="55" s="1"/>
  <c r="H345" i="55"/>
  <c r="G345" i="55" s="1"/>
  <c r="O322" i="55"/>
  <c r="H336" i="55"/>
  <c r="G336" i="55" s="1"/>
  <c r="H337" i="55"/>
  <c r="AI12" i="55" s="1"/>
  <c r="J342" i="55"/>
  <c r="H338" i="55"/>
  <c r="G338" i="55" s="1"/>
  <c r="O276" i="56"/>
  <c r="AF37" i="56" s="1"/>
  <c r="Q272" i="56"/>
  <c r="Q278" i="56"/>
  <c r="Q280" i="56"/>
  <c r="O273" i="56"/>
  <c r="AF34" i="56" s="1"/>
  <c r="O278" i="56"/>
  <c r="AF39" i="56" s="1"/>
  <c r="O280" i="56"/>
  <c r="AF41" i="56" s="1"/>
  <c r="Q276" i="56"/>
  <c r="O272" i="56"/>
  <c r="AF33" i="56" s="1"/>
  <c r="N278" i="56"/>
  <c r="O275" i="56"/>
  <c r="AF36" i="56" s="1"/>
  <c r="N275" i="56"/>
  <c r="Q275" i="56"/>
  <c r="M283" i="56"/>
  <c r="Q270" i="56"/>
  <c r="O270" i="56"/>
  <c r="AF31" i="56" s="1"/>
  <c r="N270" i="56"/>
  <c r="N280" i="56"/>
  <c r="Q271" i="56"/>
  <c r="N271" i="56"/>
  <c r="O271" i="56"/>
  <c r="AF32" i="56" s="1"/>
  <c r="N276" i="56"/>
  <c r="Q281" i="56"/>
  <c r="O281" i="56"/>
  <c r="AF42" i="56" s="1"/>
  <c r="N281" i="56"/>
  <c r="N273" i="56"/>
  <c r="F298" i="56"/>
  <c r="F299" i="56"/>
  <c r="O274" i="56"/>
  <c r="AF35" i="56" s="1"/>
  <c r="Q274" i="56"/>
  <c r="N274" i="56"/>
  <c r="N272" i="56"/>
  <c r="Q277" i="56"/>
  <c r="N277" i="56"/>
  <c r="O277" i="56"/>
  <c r="AF38" i="56" s="1"/>
  <c r="Q279" i="56"/>
  <c r="O279" i="56"/>
  <c r="AF40" i="56" s="1"/>
  <c r="N279" i="56"/>
  <c r="Q322" i="55"/>
  <c r="E335" i="55"/>
  <c r="G341" i="55"/>
  <c r="AI11" i="55"/>
  <c r="H340" i="55" l="1"/>
  <c r="AI15" i="55" s="1"/>
  <c r="J290" i="57"/>
  <c r="F290" i="57"/>
  <c r="J294" i="57"/>
  <c r="F294" i="57"/>
  <c r="J296" i="57"/>
  <c r="F296" i="57"/>
  <c r="E287" i="57"/>
  <c r="J292" i="57"/>
  <c r="F292" i="57"/>
  <c r="F288" i="57"/>
  <c r="J288" i="57"/>
  <c r="F289" i="57"/>
  <c r="J289" i="57"/>
  <c r="J291" i="57"/>
  <c r="F291" i="57"/>
  <c r="J297" i="57"/>
  <c r="F297" i="57"/>
  <c r="J295" i="57"/>
  <c r="F295" i="57"/>
  <c r="J293" i="57"/>
  <c r="F293" i="57"/>
  <c r="AD273" i="57"/>
  <c r="F286" i="57"/>
  <c r="J286" i="57"/>
  <c r="F306" i="56"/>
  <c r="K306" i="56" s="1"/>
  <c r="G339" i="55"/>
  <c r="AI14" i="55"/>
  <c r="AI17" i="55"/>
  <c r="H346" i="55"/>
  <c r="AI21" i="55" s="1"/>
  <c r="AI20" i="55"/>
  <c r="H344" i="55"/>
  <c r="AI19" i="55" s="1"/>
  <c r="AI13" i="55"/>
  <c r="G340" i="55"/>
  <c r="G337" i="55"/>
  <c r="H343" i="55"/>
  <c r="C326" i="55"/>
  <c r="C327" i="55" s="1"/>
  <c r="C330" i="55" s="1"/>
  <c r="F304" i="56"/>
  <c r="F302" i="56"/>
  <c r="E302" i="56" s="1"/>
  <c r="E306" i="56"/>
  <c r="K304" i="56"/>
  <c r="E304" i="56"/>
  <c r="K299" i="56"/>
  <c r="E299" i="56"/>
  <c r="F307" i="56"/>
  <c r="F296" i="56"/>
  <c r="Q283" i="56"/>
  <c r="F303" i="56"/>
  <c r="K298" i="56"/>
  <c r="E298" i="56"/>
  <c r="F301" i="56"/>
  <c r="F305" i="56"/>
  <c r="F300" i="56"/>
  <c r="F297" i="56"/>
  <c r="F335" i="55"/>
  <c r="E347" i="55"/>
  <c r="J335" i="55"/>
  <c r="J347" i="55" s="1"/>
  <c r="K302" i="56" l="1"/>
  <c r="H291" i="57"/>
  <c r="AH291" i="57" s="1"/>
  <c r="J287" i="57"/>
  <c r="J298" i="57" s="1"/>
  <c r="F287" i="57"/>
  <c r="H293" i="57"/>
  <c r="AH293" i="57" s="1"/>
  <c r="H289" i="57"/>
  <c r="AH289" i="57" s="1"/>
  <c r="H286" i="57"/>
  <c r="AH286" i="57" s="1"/>
  <c r="H288" i="57"/>
  <c r="AH288" i="57" s="1"/>
  <c r="H296" i="57"/>
  <c r="AH296" i="57" s="1"/>
  <c r="H295" i="57"/>
  <c r="AH295" i="57" s="1"/>
  <c r="H294" i="57"/>
  <c r="AH294" i="57" s="1"/>
  <c r="E298" i="57"/>
  <c r="H297" i="57"/>
  <c r="AH297" i="57" s="1"/>
  <c r="H292" i="57"/>
  <c r="AH292" i="57" s="1"/>
  <c r="H290" i="57"/>
  <c r="AH290" i="57" s="1"/>
  <c r="C277" i="57"/>
  <c r="C278" i="57" s="1"/>
  <c r="C281" i="57" s="1"/>
  <c r="G346" i="55"/>
  <c r="G344" i="55"/>
  <c r="AI18" i="55"/>
  <c r="G343" i="55"/>
  <c r="H299" i="56"/>
  <c r="G299" i="56" s="1"/>
  <c r="H298" i="56"/>
  <c r="I298" i="56" s="1"/>
  <c r="H304" i="56"/>
  <c r="G304" i="56" s="1"/>
  <c r="H306" i="56"/>
  <c r="I306" i="56" s="1"/>
  <c r="H302" i="56"/>
  <c r="AG17" i="56" s="1"/>
  <c r="K301" i="56"/>
  <c r="E301" i="56"/>
  <c r="K303" i="56"/>
  <c r="E303" i="56"/>
  <c r="K297" i="56"/>
  <c r="E297" i="56"/>
  <c r="F309" i="56"/>
  <c r="K296" i="56"/>
  <c r="E296" i="56"/>
  <c r="E300" i="56"/>
  <c r="K300" i="56"/>
  <c r="E307" i="56"/>
  <c r="K307" i="56"/>
  <c r="E305" i="56"/>
  <c r="K305" i="56"/>
  <c r="H335" i="55"/>
  <c r="F347" i="55"/>
  <c r="J348" i="55"/>
  <c r="F298" i="57" l="1"/>
  <c r="AG21" i="56"/>
  <c r="G306" i="56"/>
  <c r="J299" i="57"/>
  <c r="G297" i="57"/>
  <c r="BL22" i="57"/>
  <c r="P19" i="59" s="1"/>
  <c r="G290" i="57"/>
  <c r="BL15" i="57"/>
  <c r="P12" i="59" s="1"/>
  <c r="BL11" i="57"/>
  <c r="P8" i="59" s="1"/>
  <c r="G286" i="57"/>
  <c r="G293" i="57"/>
  <c r="BL18" i="57"/>
  <c r="P15" i="59" s="1"/>
  <c r="H287" i="57"/>
  <c r="AH287" i="57" s="1"/>
  <c r="BL19" i="57"/>
  <c r="P16" i="59" s="1"/>
  <c r="G294" i="57"/>
  <c r="G296" i="57"/>
  <c r="BL21" i="57"/>
  <c r="P18" i="59" s="1"/>
  <c r="G292" i="57"/>
  <c r="BL17" i="57"/>
  <c r="P14" i="59" s="1"/>
  <c r="S288" i="57"/>
  <c r="G289" i="57"/>
  <c r="BL14" i="57"/>
  <c r="P11" i="59" s="1"/>
  <c r="BL16" i="57"/>
  <c r="P13" i="59" s="1"/>
  <c r="G291" i="57"/>
  <c r="BL20" i="57"/>
  <c r="P17" i="59" s="1"/>
  <c r="G295" i="57"/>
  <c r="G288" i="57"/>
  <c r="BL13" i="57"/>
  <c r="P10" i="59" s="1"/>
  <c r="G302" i="56"/>
  <c r="I302" i="56"/>
  <c r="AG14" i="56"/>
  <c r="G298" i="56"/>
  <c r="I299" i="56"/>
  <c r="AG13" i="56"/>
  <c r="H347" i="55"/>
  <c r="G347" i="55" s="1"/>
  <c r="H305" i="56"/>
  <c r="G305" i="56" s="1"/>
  <c r="H303" i="56"/>
  <c r="AG18" i="56" s="1"/>
  <c r="H300" i="56"/>
  <c r="AG15" i="56" s="1"/>
  <c r="AG19" i="56"/>
  <c r="H307" i="56"/>
  <c r="I307" i="56" s="1"/>
  <c r="H301" i="56"/>
  <c r="I301" i="56" s="1"/>
  <c r="I304" i="56"/>
  <c r="H297" i="56"/>
  <c r="AG12" i="56" s="1"/>
  <c r="K309" i="56"/>
  <c r="H296" i="56"/>
  <c r="E309" i="56"/>
  <c r="AI10" i="55"/>
  <c r="G335" i="55"/>
  <c r="H348" i="55"/>
  <c r="S286" i="57" l="1"/>
  <c r="U286" i="57" s="1"/>
  <c r="S291" i="57"/>
  <c r="U291" i="57" s="1"/>
  <c r="S290" i="57"/>
  <c r="U290" i="57" s="1"/>
  <c r="S293" i="57"/>
  <c r="U293" i="57" s="1"/>
  <c r="S292" i="57"/>
  <c r="U292" i="57" s="1"/>
  <c r="S294" i="57"/>
  <c r="U294" i="57" s="1"/>
  <c r="S289" i="57"/>
  <c r="U289" i="57" s="1"/>
  <c r="S287" i="57"/>
  <c r="U287" i="57" s="1"/>
  <c r="S297" i="57"/>
  <c r="U297" i="57" s="1"/>
  <c r="S295" i="57"/>
  <c r="U295" i="57" s="1"/>
  <c r="S296" i="57"/>
  <c r="U296" i="57" s="1"/>
  <c r="H298" i="57"/>
  <c r="AH298" i="57" s="1"/>
  <c r="AI22" i="55"/>
  <c r="U288" i="57"/>
  <c r="G287" i="57"/>
  <c r="G299" i="57" s="1"/>
  <c r="BL12" i="57"/>
  <c r="P9" i="59" s="1"/>
  <c r="H299" i="57"/>
  <c r="G297" i="56"/>
  <c r="G300" i="56"/>
  <c r="I297" i="56"/>
  <c r="AG20" i="56"/>
  <c r="I305" i="56"/>
  <c r="G303" i="56"/>
  <c r="G301" i="56"/>
  <c r="AG16" i="56"/>
  <c r="I303" i="56"/>
  <c r="AG22" i="56"/>
  <c r="G307" i="56"/>
  <c r="I300" i="56"/>
  <c r="H309" i="56"/>
  <c r="G309" i="56" s="1"/>
  <c r="I296" i="56"/>
  <c r="G296" i="56"/>
  <c r="AG11" i="56"/>
  <c r="H310" i="56"/>
  <c r="K342" i="55"/>
  <c r="M342" i="55" s="1"/>
  <c r="N342" i="55" s="1"/>
  <c r="K336" i="55"/>
  <c r="M336" i="55" s="1"/>
  <c r="N336" i="55" s="1"/>
  <c r="K344" i="55"/>
  <c r="M344" i="55" s="1"/>
  <c r="N344" i="55" s="1"/>
  <c r="K345" i="55"/>
  <c r="M345" i="55" s="1"/>
  <c r="N345" i="55" s="1"/>
  <c r="K346" i="55"/>
  <c r="M346" i="55" s="1"/>
  <c r="N346" i="55" s="1"/>
  <c r="K337" i="55"/>
  <c r="M337" i="55" s="1"/>
  <c r="N337" i="55" s="1"/>
  <c r="K343" i="55"/>
  <c r="M343" i="55" s="1"/>
  <c r="N343" i="55" s="1"/>
  <c r="K341" i="55"/>
  <c r="M341" i="55" s="1"/>
  <c r="N341" i="55" s="1"/>
  <c r="K338" i="55"/>
  <c r="M338" i="55" s="1"/>
  <c r="N338" i="55" s="1"/>
  <c r="K339" i="55"/>
  <c r="M339" i="55" s="1"/>
  <c r="N339" i="55" s="1"/>
  <c r="K340" i="55"/>
  <c r="M340" i="55" s="1"/>
  <c r="N340" i="55" s="1"/>
  <c r="G348" i="55"/>
  <c r="K335" i="55"/>
  <c r="M335" i="55" s="1"/>
  <c r="BL23" i="57" l="1"/>
  <c r="P20" i="59" s="1"/>
  <c r="G298" i="57"/>
  <c r="U298" i="57"/>
  <c r="P292" i="57"/>
  <c r="P291" i="57"/>
  <c r="P289" i="57"/>
  <c r="P290" i="57"/>
  <c r="P294" i="57"/>
  <c r="P297" i="57"/>
  <c r="P288" i="57"/>
  <c r="P286" i="57"/>
  <c r="P293" i="57"/>
  <c r="P296" i="57"/>
  <c r="P295" i="57"/>
  <c r="O286" i="57"/>
  <c r="O290" i="57"/>
  <c r="O292" i="57"/>
  <c r="O288" i="57"/>
  <c r="O294" i="57"/>
  <c r="O291" i="57"/>
  <c r="O297" i="57"/>
  <c r="O296" i="57"/>
  <c r="Q296" i="57" s="1"/>
  <c r="AB296" i="57" s="1"/>
  <c r="AZ296" i="57" s="1"/>
  <c r="O295" i="57"/>
  <c r="O289" i="57"/>
  <c r="O293" i="57"/>
  <c r="O287" i="57"/>
  <c r="P287" i="57"/>
  <c r="AG23" i="56"/>
  <c r="G310" i="56"/>
  <c r="L297" i="56"/>
  <c r="L305" i="56"/>
  <c r="L296" i="56"/>
  <c r="H289" i="56"/>
  <c r="H290" i="56"/>
  <c r="L306" i="56"/>
  <c r="H288" i="56"/>
  <c r="L299" i="56"/>
  <c r="L304" i="56"/>
  <c r="L301" i="56"/>
  <c r="L300" i="56"/>
  <c r="L298" i="56"/>
  <c r="L302" i="56"/>
  <c r="L307" i="56"/>
  <c r="L303" i="56"/>
  <c r="O341" i="55"/>
  <c r="AI36" i="55" s="1"/>
  <c r="Q341" i="55"/>
  <c r="Q343" i="55"/>
  <c r="O343" i="55"/>
  <c r="AI38" i="55" s="1"/>
  <c r="N335" i="55"/>
  <c r="M347" i="55"/>
  <c r="O337" i="55"/>
  <c r="AI32" i="55" s="1"/>
  <c r="Q337" i="55"/>
  <c r="L336" i="55"/>
  <c r="L346" i="55"/>
  <c r="L338" i="55"/>
  <c r="L340" i="55"/>
  <c r="L339" i="55"/>
  <c r="L342" i="55"/>
  <c r="L337" i="55"/>
  <c r="L341" i="55"/>
  <c r="L343" i="55"/>
  <c r="L345" i="55"/>
  <c r="L344" i="55"/>
  <c r="Q346" i="55"/>
  <c r="O346" i="55"/>
  <c r="AI41" i="55" s="1"/>
  <c r="L335" i="55"/>
  <c r="Q345" i="55"/>
  <c r="O345" i="55"/>
  <c r="AI40" i="55" s="1"/>
  <c r="Q340" i="55"/>
  <c r="O340" i="55"/>
  <c r="AI35" i="55" s="1"/>
  <c r="O344" i="55"/>
  <c r="AI39" i="55" s="1"/>
  <c r="Q344" i="55"/>
  <c r="Q339" i="55"/>
  <c r="O339" i="55"/>
  <c r="AI34" i="55" s="1"/>
  <c r="Q336" i="55"/>
  <c r="O336" i="55"/>
  <c r="AI31" i="55" s="1"/>
  <c r="Q338" i="55"/>
  <c r="O338" i="55"/>
  <c r="AI33" i="55" s="1"/>
  <c r="Q342" i="55"/>
  <c r="O342" i="55"/>
  <c r="AI37" i="55" s="1"/>
  <c r="Q289" i="57" l="1"/>
  <c r="AB289" i="57" s="1"/>
  <c r="AZ289" i="57" s="1"/>
  <c r="Q295" i="57"/>
  <c r="AB295" i="57" s="1"/>
  <c r="AZ295" i="57" s="1"/>
  <c r="Q290" i="57"/>
  <c r="AB290" i="57" s="1"/>
  <c r="AZ290" i="57" s="1"/>
  <c r="Q293" i="57"/>
  <c r="AB293" i="57" s="1"/>
  <c r="AZ293" i="57" s="1"/>
  <c r="Q292" i="57"/>
  <c r="AB292" i="57" s="1"/>
  <c r="AZ292" i="57" s="1"/>
  <c r="Q294" i="57"/>
  <c r="AB294" i="57" s="1"/>
  <c r="AZ294" i="57" s="1"/>
  <c r="Q288" i="57"/>
  <c r="AB288" i="57" s="1"/>
  <c r="AZ288" i="57" s="1"/>
  <c r="Q287" i="57"/>
  <c r="AB287" i="57" s="1"/>
  <c r="AZ287" i="57" s="1"/>
  <c r="Q286" i="57"/>
  <c r="AD296" i="57"/>
  <c r="BQ41" i="57" s="1"/>
  <c r="P34" i="59" s="1"/>
  <c r="Q297" i="57"/>
  <c r="AB297" i="57" s="1"/>
  <c r="AZ297" i="57" s="1"/>
  <c r="Q291" i="57"/>
  <c r="AB291" i="57" s="1"/>
  <c r="AZ291" i="57" s="1"/>
  <c r="E366" i="55"/>
  <c r="J366" i="55" s="1"/>
  <c r="E363" i="55"/>
  <c r="E365" i="55"/>
  <c r="J365" i="55" s="1"/>
  <c r="E362" i="55"/>
  <c r="J362" i="55" s="1"/>
  <c r="E361" i="55"/>
  <c r="J361" i="55" s="1"/>
  <c r="E364" i="55"/>
  <c r="E370" i="55"/>
  <c r="F370" i="55" s="1"/>
  <c r="E369" i="55"/>
  <c r="J369" i="55" s="1"/>
  <c r="E371" i="55"/>
  <c r="E367" i="55"/>
  <c r="J367" i="55" s="1"/>
  <c r="E368" i="55"/>
  <c r="F368" i="55" s="1"/>
  <c r="I288" i="56"/>
  <c r="J288" i="56" s="1"/>
  <c r="I290" i="56"/>
  <c r="J290" i="56" s="1"/>
  <c r="I289" i="56"/>
  <c r="J289" i="56" s="1"/>
  <c r="F361" i="55"/>
  <c r="J364" i="55"/>
  <c r="F364" i="55"/>
  <c r="Q335" i="55"/>
  <c r="O335" i="55"/>
  <c r="AI30" i="55" s="1"/>
  <c r="N347" i="55"/>
  <c r="F371" i="55"/>
  <c r="J371" i="55"/>
  <c r="F367" i="55"/>
  <c r="J363" i="55"/>
  <c r="F363" i="55"/>
  <c r="AD295" i="57" l="1"/>
  <c r="BQ40" i="57" s="1"/>
  <c r="P33" i="59" s="1"/>
  <c r="AD289" i="57"/>
  <c r="BQ34" i="57" s="1"/>
  <c r="P27" i="59" s="1"/>
  <c r="AD294" i="57"/>
  <c r="BQ39" i="57" s="1"/>
  <c r="P32" i="59" s="1"/>
  <c r="AD292" i="57"/>
  <c r="BQ37" i="57" s="1"/>
  <c r="P30" i="59" s="1"/>
  <c r="AD290" i="57"/>
  <c r="BQ35" i="57" s="1"/>
  <c r="P28" i="59" s="1"/>
  <c r="AD293" i="57"/>
  <c r="BQ38" i="57" s="1"/>
  <c r="P31" i="59" s="1"/>
  <c r="AD288" i="57"/>
  <c r="BQ33" i="57" s="1"/>
  <c r="P26" i="59" s="1"/>
  <c r="F366" i="55"/>
  <c r="AD287" i="57"/>
  <c r="BQ32" i="57" s="1"/>
  <c r="P25" i="59" s="1"/>
  <c r="E313" i="57"/>
  <c r="AD297" i="57"/>
  <c r="BQ42" i="57" s="1"/>
  <c r="P35" i="59" s="1"/>
  <c r="Q298" i="57"/>
  <c r="AB286" i="57"/>
  <c r="AZ286" i="57" s="1"/>
  <c r="AZ298" i="57" s="1"/>
  <c r="E317" i="57"/>
  <c r="E320" i="57"/>
  <c r="E318" i="57"/>
  <c r="AD291" i="57"/>
  <c r="BQ36" i="57" s="1"/>
  <c r="P29" i="59" s="1"/>
  <c r="E314" i="57"/>
  <c r="E319" i="57"/>
  <c r="E321" i="57"/>
  <c r="E315" i="57"/>
  <c r="M302" i="56"/>
  <c r="H368" i="55"/>
  <c r="G368" i="55" s="1"/>
  <c r="H370" i="55"/>
  <c r="AJ20" i="55" s="1"/>
  <c r="H371" i="55"/>
  <c r="AJ21" i="55" s="1"/>
  <c r="H364" i="55"/>
  <c r="G364" i="55" s="1"/>
  <c r="F369" i="55"/>
  <c r="H363" i="55"/>
  <c r="J368" i="55"/>
  <c r="J370" i="55"/>
  <c r="F362" i="55"/>
  <c r="F365" i="55"/>
  <c r="H366" i="55"/>
  <c r="AJ16" i="55" s="1"/>
  <c r="H361" i="55"/>
  <c r="G361" i="55" s="1"/>
  <c r="H367" i="55"/>
  <c r="G367" i="55" s="1"/>
  <c r="O347" i="55"/>
  <c r="M306" i="56"/>
  <c r="M300" i="56"/>
  <c r="M297" i="56"/>
  <c r="M305" i="56"/>
  <c r="M304" i="56"/>
  <c r="M298" i="56"/>
  <c r="M307" i="56"/>
  <c r="M303" i="56"/>
  <c r="M296" i="56"/>
  <c r="M301" i="56"/>
  <c r="M299" i="56"/>
  <c r="Q302" i="56"/>
  <c r="O302" i="56"/>
  <c r="AG37" i="56" s="1"/>
  <c r="G363" i="55"/>
  <c r="AJ13" i="55"/>
  <c r="Q347" i="55"/>
  <c r="E360" i="55"/>
  <c r="AJ18" i="55"/>
  <c r="F318" i="57" l="1"/>
  <c r="J318" i="57"/>
  <c r="J320" i="57"/>
  <c r="F320" i="57"/>
  <c r="J314" i="57"/>
  <c r="F314" i="57"/>
  <c r="F321" i="57"/>
  <c r="J321" i="57"/>
  <c r="E322" i="57"/>
  <c r="J319" i="57"/>
  <c r="F319" i="57"/>
  <c r="E316" i="57"/>
  <c r="E312" i="57"/>
  <c r="J317" i="57"/>
  <c r="F317" i="57"/>
  <c r="J313" i="57"/>
  <c r="F313" i="57"/>
  <c r="F315" i="57"/>
  <c r="J315" i="57"/>
  <c r="AD286" i="57"/>
  <c r="BQ31" i="57" s="1"/>
  <c r="P24" i="59" s="1"/>
  <c r="AB298" i="57"/>
  <c r="AJ11" i="55"/>
  <c r="G370" i="55"/>
  <c r="G366" i="55"/>
  <c r="AJ14" i="55"/>
  <c r="C351" i="55"/>
  <c r="C352" i="55" s="1"/>
  <c r="C355" i="55" s="1"/>
  <c r="H365" i="55"/>
  <c r="H362" i="55"/>
  <c r="AJ17" i="55"/>
  <c r="G371" i="55"/>
  <c r="H369" i="55"/>
  <c r="Q300" i="56"/>
  <c r="Q306" i="56"/>
  <c r="O300" i="56"/>
  <c r="AG35" i="56" s="1"/>
  <c r="O306" i="56"/>
  <c r="AG41" i="56" s="1"/>
  <c r="N300" i="56"/>
  <c r="Q299" i="56"/>
  <c r="N299" i="56"/>
  <c r="O299" i="56"/>
  <c r="AG34" i="56" s="1"/>
  <c r="Q298" i="56"/>
  <c r="O298" i="56"/>
  <c r="AG33" i="56" s="1"/>
  <c r="N298" i="56"/>
  <c r="Q301" i="56"/>
  <c r="O301" i="56"/>
  <c r="AG36" i="56" s="1"/>
  <c r="N301" i="56"/>
  <c r="O304" i="56"/>
  <c r="AG39" i="56" s="1"/>
  <c r="N304" i="56"/>
  <c r="Q304" i="56"/>
  <c r="Q307" i="56"/>
  <c r="N307" i="56"/>
  <c r="O307" i="56"/>
  <c r="AG42" i="56" s="1"/>
  <c r="M309" i="56"/>
  <c r="O296" i="56"/>
  <c r="AG31" i="56" s="1"/>
  <c r="Q296" i="56"/>
  <c r="N296" i="56"/>
  <c r="N302" i="56"/>
  <c r="N306" i="56"/>
  <c r="F328" i="56"/>
  <c r="F332" i="56"/>
  <c r="Q305" i="56"/>
  <c r="N305" i="56"/>
  <c r="O305" i="56"/>
  <c r="AG40" i="56" s="1"/>
  <c r="Q303" i="56"/>
  <c r="N303" i="56"/>
  <c r="O303" i="56"/>
  <c r="AG38" i="56" s="1"/>
  <c r="O297" i="56"/>
  <c r="AG32" i="56" s="1"/>
  <c r="N297" i="56"/>
  <c r="Q297" i="56"/>
  <c r="J360" i="55"/>
  <c r="F360" i="55"/>
  <c r="E372" i="55"/>
  <c r="E311" i="57" l="1"/>
  <c r="H321" i="57"/>
  <c r="AH321" i="57" s="1"/>
  <c r="H314" i="57"/>
  <c r="AH314" i="57" s="1"/>
  <c r="H315" i="57"/>
  <c r="AH315" i="57" s="1"/>
  <c r="J316" i="57"/>
  <c r="F316" i="57"/>
  <c r="H319" i="57"/>
  <c r="AH319" i="57" s="1"/>
  <c r="F312" i="57"/>
  <c r="J312" i="57"/>
  <c r="H313" i="57"/>
  <c r="AH313" i="57" s="1"/>
  <c r="H320" i="57"/>
  <c r="AH320" i="57" s="1"/>
  <c r="AD298" i="57"/>
  <c r="H317" i="57"/>
  <c r="AH317" i="57" s="1"/>
  <c r="J322" i="57"/>
  <c r="F322" i="57"/>
  <c r="H318" i="57"/>
  <c r="AH318" i="57" s="1"/>
  <c r="J373" i="55"/>
  <c r="F326" i="56"/>
  <c r="E326" i="56" s="1"/>
  <c r="AJ12" i="55"/>
  <c r="G362" i="55"/>
  <c r="AJ15" i="55"/>
  <c r="G365" i="55"/>
  <c r="AJ19" i="55"/>
  <c r="G369" i="55"/>
  <c r="Q309" i="56"/>
  <c r="F322" i="56"/>
  <c r="F333" i="56"/>
  <c r="F327" i="56"/>
  <c r="F323" i="56"/>
  <c r="K326" i="56"/>
  <c r="K332" i="56"/>
  <c r="E332" i="56"/>
  <c r="F330" i="56"/>
  <c r="F324" i="56"/>
  <c r="K328" i="56"/>
  <c r="E328" i="56"/>
  <c r="F329" i="56"/>
  <c r="F331" i="56"/>
  <c r="F325" i="56"/>
  <c r="H360" i="55"/>
  <c r="F372" i="55"/>
  <c r="J372" i="55"/>
  <c r="BM14" i="57" l="1"/>
  <c r="Q11" i="59" s="1"/>
  <c r="G314" i="57"/>
  <c r="BM13" i="57"/>
  <c r="Q10" i="59" s="1"/>
  <c r="G313" i="57"/>
  <c r="H316" i="57"/>
  <c r="AH316" i="57" s="1"/>
  <c r="BM19" i="57"/>
  <c r="Q16" i="59" s="1"/>
  <c r="G319" i="57"/>
  <c r="G317" i="57"/>
  <c r="BM17" i="57"/>
  <c r="Q14" i="59" s="1"/>
  <c r="G318" i="57"/>
  <c r="BM18" i="57"/>
  <c r="Q15" i="59" s="1"/>
  <c r="G315" i="57"/>
  <c r="BM15" i="57"/>
  <c r="Q12" i="59" s="1"/>
  <c r="C302" i="57"/>
  <c r="C303" i="57" s="1"/>
  <c r="C306" i="57" s="1"/>
  <c r="G321" i="57"/>
  <c r="BM21" i="57"/>
  <c r="Q18" i="59" s="1"/>
  <c r="H322" i="57"/>
  <c r="AH322" i="57" s="1"/>
  <c r="H312" i="57"/>
  <c r="AH312" i="57" s="1"/>
  <c r="J311" i="57"/>
  <c r="J323" i="57" s="1"/>
  <c r="F311" i="57"/>
  <c r="E323" i="57"/>
  <c r="G320" i="57"/>
  <c r="BM20" i="57"/>
  <c r="Q17" i="59" s="1"/>
  <c r="H372" i="55"/>
  <c r="G372" i="55" s="1"/>
  <c r="H332" i="56"/>
  <c r="G332" i="56" s="1"/>
  <c r="H326" i="56"/>
  <c r="AH15" i="56" s="1"/>
  <c r="H328" i="56"/>
  <c r="G328" i="56" s="1"/>
  <c r="E325" i="56"/>
  <c r="K325" i="56"/>
  <c r="I332" i="56"/>
  <c r="AH21" i="56"/>
  <c r="E333" i="56"/>
  <c r="K333" i="56"/>
  <c r="K331" i="56"/>
  <c r="E331" i="56"/>
  <c r="E324" i="56"/>
  <c r="K324" i="56"/>
  <c r="E322" i="56"/>
  <c r="K322" i="56"/>
  <c r="F335" i="56"/>
  <c r="E327" i="56"/>
  <c r="K327" i="56"/>
  <c r="E329" i="56"/>
  <c r="K329" i="56"/>
  <c r="K323" i="56"/>
  <c r="E323" i="56"/>
  <c r="I328" i="56"/>
  <c r="E330" i="56"/>
  <c r="K330" i="56"/>
  <c r="AJ10" i="55"/>
  <c r="G360" i="55"/>
  <c r="H373" i="55"/>
  <c r="J324" i="57" l="1"/>
  <c r="G316" i="57"/>
  <c r="BM16" i="57"/>
  <c r="Q13" i="59" s="1"/>
  <c r="G312" i="57"/>
  <c r="BM12" i="57"/>
  <c r="Q9" i="59" s="1"/>
  <c r="G322" i="57"/>
  <c r="BM22" i="57"/>
  <c r="Q19" i="59" s="1"/>
  <c r="F323" i="57"/>
  <c r="S311" i="57" s="1"/>
  <c r="H311" i="57"/>
  <c r="AH311" i="57" s="1"/>
  <c r="AJ22" i="55"/>
  <c r="AH17" i="56"/>
  <c r="G326" i="56"/>
  <c r="I326" i="56"/>
  <c r="H324" i="56"/>
  <c r="AH13" i="56" s="1"/>
  <c r="H325" i="56"/>
  <c r="AH14" i="56" s="1"/>
  <c r="H323" i="56"/>
  <c r="AH12" i="56" s="1"/>
  <c r="H333" i="56"/>
  <c r="AH22" i="56" s="1"/>
  <c r="H329" i="56"/>
  <c r="I329" i="56" s="1"/>
  <c r="H327" i="56"/>
  <c r="G327" i="56" s="1"/>
  <c r="H331" i="56"/>
  <c r="I331" i="56" s="1"/>
  <c r="H330" i="56"/>
  <c r="AH19" i="56" s="1"/>
  <c r="AH16" i="56"/>
  <c r="K335" i="56"/>
  <c r="E335" i="56"/>
  <c r="H322" i="56"/>
  <c r="I333" i="56"/>
  <c r="K369" i="55"/>
  <c r="M369" i="55" s="1"/>
  <c r="N369" i="55" s="1"/>
  <c r="K371" i="55"/>
  <c r="M371" i="55" s="1"/>
  <c r="N371" i="55" s="1"/>
  <c r="K367" i="55"/>
  <c r="M367" i="55" s="1"/>
  <c r="N367" i="55" s="1"/>
  <c r="K368" i="55"/>
  <c r="M368" i="55" s="1"/>
  <c r="N368" i="55" s="1"/>
  <c r="K362" i="55"/>
  <c r="M362" i="55" s="1"/>
  <c r="N362" i="55" s="1"/>
  <c r="K363" i="55"/>
  <c r="M363" i="55" s="1"/>
  <c r="N363" i="55" s="1"/>
  <c r="K364" i="55"/>
  <c r="M364" i="55" s="1"/>
  <c r="N364" i="55" s="1"/>
  <c r="K361" i="55"/>
  <c r="M361" i="55" s="1"/>
  <c r="N361" i="55" s="1"/>
  <c r="K370" i="55"/>
  <c r="M370" i="55" s="1"/>
  <c r="N370" i="55" s="1"/>
  <c r="K365" i="55"/>
  <c r="M365" i="55" s="1"/>
  <c r="N365" i="55" s="1"/>
  <c r="K366" i="55"/>
  <c r="M366" i="55" s="1"/>
  <c r="N366" i="55" s="1"/>
  <c r="G373" i="55"/>
  <c r="K360" i="55"/>
  <c r="M360" i="55" s="1"/>
  <c r="U311" i="57" l="1"/>
  <c r="AH18" i="56"/>
  <c r="G329" i="56"/>
  <c r="H323" i="57"/>
  <c r="AH323" i="57" s="1"/>
  <c r="S314" i="57"/>
  <c r="U314" i="57" s="1"/>
  <c r="S319" i="57"/>
  <c r="U319" i="57" s="1"/>
  <c r="S320" i="57"/>
  <c r="U320" i="57" s="1"/>
  <c r="S315" i="57"/>
  <c r="U315" i="57" s="1"/>
  <c r="S318" i="57"/>
  <c r="U318" i="57" s="1"/>
  <c r="S317" i="57"/>
  <c r="U317" i="57" s="1"/>
  <c r="S321" i="57"/>
  <c r="U321" i="57" s="1"/>
  <c r="S313" i="57"/>
  <c r="U313" i="57" s="1"/>
  <c r="S316" i="57"/>
  <c r="U316" i="57" s="1"/>
  <c r="S312" i="57"/>
  <c r="U312" i="57" s="1"/>
  <c r="S322" i="57"/>
  <c r="U322" i="57" s="1"/>
  <c r="H324" i="57"/>
  <c r="G311" i="57"/>
  <c r="G324" i="57" s="1"/>
  <c r="P312" i="57" s="1"/>
  <c r="BM11" i="57"/>
  <c r="Q8" i="59" s="1"/>
  <c r="I324" i="56"/>
  <c r="G324" i="56"/>
  <c r="I327" i="56"/>
  <c r="G323" i="56"/>
  <c r="G333" i="56"/>
  <c r="I323" i="56"/>
  <c r="I325" i="56"/>
  <c r="G331" i="56"/>
  <c r="AH20" i="56"/>
  <c r="G325" i="56"/>
  <c r="G330" i="56"/>
  <c r="H335" i="56"/>
  <c r="G335" i="56" s="1"/>
  <c r="I330" i="56"/>
  <c r="G322" i="56"/>
  <c r="AH11" i="56"/>
  <c r="I322" i="56"/>
  <c r="H336" i="56"/>
  <c r="Q361" i="55"/>
  <c r="O361" i="55"/>
  <c r="AJ31" i="55" s="1"/>
  <c r="Q364" i="55"/>
  <c r="O364" i="55"/>
  <c r="AJ34" i="55" s="1"/>
  <c r="M372" i="55"/>
  <c r="N360" i="55"/>
  <c r="O363" i="55"/>
  <c r="AJ33" i="55" s="1"/>
  <c r="Q363" i="55"/>
  <c r="L368" i="55"/>
  <c r="L371" i="55"/>
  <c r="L370" i="55"/>
  <c r="L369" i="55"/>
  <c r="L362" i="55"/>
  <c r="L367" i="55"/>
  <c r="L364" i="55"/>
  <c r="L361" i="55"/>
  <c r="L363" i="55"/>
  <c r="L366" i="55"/>
  <c r="L365" i="55"/>
  <c r="Q362" i="55"/>
  <c r="O362" i="55"/>
  <c r="AJ32" i="55" s="1"/>
  <c r="L360" i="55"/>
  <c r="O368" i="55"/>
  <c r="AJ38" i="55" s="1"/>
  <c r="Q368" i="55"/>
  <c r="O366" i="55"/>
  <c r="AJ36" i="55" s="1"/>
  <c r="Q366" i="55"/>
  <c r="O367" i="55"/>
  <c r="AJ37" i="55" s="1"/>
  <c r="Q367" i="55"/>
  <c r="O365" i="55"/>
  <c r="AJ35" i="55" s="1"/>
  <c r="Q365" i="55"/>
  <c r="Q371" i="55"/>
  <c r="O371" i="55"/>
  <c r="AJ41" i="55" s="1"/>
  <c r="O370" i="55"/>
  <c r="AJ40" i="55" s="1"/>
  <c r="Q370" i="55"/>
  <c r="Q369" i="55"/>
  <c r="O369" i="55"/>
  <c r="AJ39" i="55" s="1"/>
  <c r="P322" i="57" l="1"/>
  <c r="P316" i="57"/>
  <c r="U323" i="57"/>
  <c r="O311" i="57"/>
  <c r="O318" i="57"/>
  <c r="O314" i="57"/>
  <c r="O317" i="57"/>
  <c r="O320" i="57"/>
  <c r="O321" i="57"/>
  <c r="O319" i="57"/>
  <c r="O315" i="57"/>
  <c r="O313" i="57"/>
  <c r="O322" i="57"/>
  <c r="O316" i="57"/>
  <c r="Q316" i="57" s="1"/>
  <c r="AB316" i="57" s="1"/>
  <c r="AZ316" i="57" s="1"/>
  <c r="O312" i="57"/>
  <c r="Q312" i="57" s="1"/>
  <c r="AB312" i="57" s="1"/>
  <c r="AZ312" i="57" s="1"/>
  <c r="G323" i="57"/>
  <c r="BM23" i="57"/>
  <c r="Q20" i="59" s="1"/>
  <c r="P311" i="57"/>
  <c r="P321" i="57"/>
  <c r="P318" i="57"/>
  <c r="P320" i="57"/>
  <c r="P313" i="57"/>
  <c r="P319" i="57"/>
  <c r="P317" i="57"/>
  <c r="P314" i="57"/>
  <c r="P315" i="57"/>
  <c r="AH23" i="56"/>
  <c r="G336" i="56"/>
  <c r="E394" i="55"/>
  <c r="E391" i="55"/>
  <c r="F391" i="55" s="1"/>
  <c r="E392" i="55"/>
  <c r="F392" i="55" s="1"/>
  <c r="E387" i="55"/>
  <c r="J387" i="55" s="1"/>
  <c r="E389" i="55"/>
  <c r="J389" i="55" s="1"/>
  <c r="E395" i="55"/>
  <c r="F395" i="55" s="1"/>
  <c r="E386" i="55"/>
  <c r="F386" i="55" s="1"/>
  <c r="E393" i="55"/>
  <c r="J393" i="55" s="1"/>
  <c r="E388" i="55"/>
  <c r="E396" i="55"/>
  <c r="J396" i="55" s="1"/>
  <c r="E390" i="55"/>
  <c r="F390" i="55" s="1"/>
  <c r="L324" i="56"/>
  <c r="L322" i="56"/>
  <c r="L327" i="56"/>
  <c r="L329" i="56"/>
  <c r="H315" i="56"/>
  <c r="H316" i="56"/>
  <c r="H314" i="56"/>
  <c r="L332" i="56"/>
  <c r="L325" i="56"/>
  <c r="L326" i="56"/>
  <c r="L330" i="56"/>
  <c r="L331" i="56"/>
  <c r="L323" i="56"/>
  <c r="L328" i="56"/>
  <c r="L333" i="56"/>
  <c r="N372" i="55"/>
  <c r="O360" i="55"/>
  <c r="AJ30" i="55" s="1"/>
  <c r="Q360" i="55"/>
  <c r="F388" i="55"/>
  <c r="J388" i="55"/>
  <c r="J394" i="55"/>
  <c r="F394" i="55"/>
  <c r="F389" i="55" l="1"/>
  <c r="Q318" i="57"/>
  <c r="AB318" i="57" s="1"/>
  <c r="AZ318" i="57" s="1"/>
  <c r="Q322" i="57"/>
  <c r="AB322" i="57" s="1"/>
  <c r="AZ322" i="57" s="1"/>
  <c r="Q320" i="57"/>
  <c r="AB320" i="57" s="1"/>
  <c r="AZ320" i="57" s="1"/>
  <c r="Q319" i="57"/>
  <c r="AB319" i="57" s="1"/>
  <c r="Q315" i="57"/>
  <c r="AB315" i="57" s="1"/>
  <c r="AD312" i="57"/>
  <c r="BR32" i="57" s="1"/>
  <c r="Q25" i="59" s="1"/>
  <c r="Q321" i="57"/>
  <c r="AB321" i="57" s="1"/>
  <c r="AZ321" i="57" s="1"/>
  <c r="Q317" i="57"/>
  <c r="AB317" i="57" s="1"/>
  <c r="AZ317" i="57" s="1"/>
  <c r="AD316" i="57"/>
  <c r="BR36" i="57" s="1"/>
  <c r="Q29" i="59" s="1"/>
  <c r="Q314" i="57"/>
  <c r="AB314" i="57" s="1"/>
  <c r="AZ314" i="57" s="1"/>
  <c r="Q313" i="57"/>
  <c r="AB313" i="57" s="1"/>
  <c r="AZ313" i="57" s="1"/>
  <c r="Q311" i="57"/>
  <c r="J390" i="55"/>
  <c r="J395" i="55"/>
  <c r="F393" i="55"/>
  <c r="H393" i="55" s="1"/>
  <c r="G393" i="55" s="1"/>
  <c r="J392" i="55"/>
  <c r="J391" i="55"/>
  <c r="J386" i="55"/>
  <c r="F396" i="55"/>
  <c r="H396" i="55" s="1"/>
  <c r="AK21" i="55" s="1"/>
  <c r="O372" i="55"/>
  <c r="H394" i="55"/>
  <c r="AK19" i="55" s="1"/>
  <c r="H395" i="55"/>
  <c r="AK20" i="55" s="1"/>
  <c r="F387" i="55"/>
  <c r="H388" i="55"/>
  <c r="AK13" i="55" s="1"/>
  <c r="H391" i="55"/>
  <c r="AK16" i="55" s="1"/>
  <c r="H390" i="55"/>
  <c r="AK15" i="55" s="1"/>
  <c r="H386" i="55"/>
  <c r="AK11" i="55" s="1"/>
  <c r="H392" i="55"/>
  <c r="AK17" i="55" s="1"/>
  <c r="H389" i="55"/>
  <c r="AK14" i="55" s="1"/>
  <c r="I316" i="56"/>
  <c r="J316" i="56" s="1"/>
  <c r="I314" i="56"/>
  <c r="J314" i="56" s="1"/>
  <c r="I315" i="56"/>
  <c r="J315" i="56" s="1"/>
  <c r="Q372" i="55"/>
  <c r="E385" i="55"/>
  <c r="C366" i="56"/>
  <c r="AD318" i="57" l="1"/>
  <c r="BR38" i="57" s="1"/>
  <c r="Q31" i="59" s="1"/>
  <c r="G389" i="55"/>
  <c r="AD320" i="57"/>
  <c r="BR40" i="57" s="1"/>
  <c r="Q33" i="59" s="1"/>
  <c r="AD322" i="57"/>
  <c r="BR42" i="57" s="1"/>
  <c r="Q35" i="59" s="1"/>
  <c r="AD315" i="57"/>
  <c r="BR35" i="57" s="1"/>
  <c r="Q28" i="59" s="1"/>
  <c r="AZ315" i="57"/>
  <c r="AZ319" i="57"/>
  <c r="AD319" i="57"/>
  <c r="BR39" i="57" s="1"/>
  <c r="Q32" i="59" s="1"/>
  <c r="AD314" i="57"/>
  <c r="BR34" i="57" s="1"/>
  <c r="Q27" i="59" s="1"/>
  <c r="E341" i="57"/>
  <c r="E337" i="57"/>
  <c r="E345" i="57"/>
  <c r="AD317" i="57"/>
  <c r="BR37" i="57" s="1"/>
  <c r="Q30" i="59" s="1"/>
  <c r="AD321" i="57"/>
  <c r="BR41" i="57" s="1"/>
  <c r="Q34" i="59" s="1"/>
  <c r="E343" i="57"/>
  <c r="Q323" i="57"/>
  <c r="AB311" i="57"/>
  <c r="AZ311" i="57" s="1"/>
  <c r="AD313" i="57"/>
  <c r="BR33" i="57" s="1"/>
  <c r="Q26" i="59" s="1"/>
  <c r="E347" i="57"/>
  <c r="G388" i="55"/>
  <c r="G392" i="55"/>
  <c r="G396" i="55"/>
  <c r="G390" i="55"/>
  <c r="AK18" i="55"/>
  <c r="G394" i="55"/>
  <c r="C376" i="55"/>
  <c r="C377" i="55" s="1"/>
  <c r="C380" i="55" s="1"/>
  <c r="G386" i="55"/>
  <c r="G391" i="55"/>
  <c r="G395" i="55"/>
  <c r="H387" i="55"/>
  <c r="M323" i="56"/>
  <c r="M325" i="56"/>
  <c r="Q325" i="56" s="1"/>
  <c r="M332" i="56"/>
  <c r="M326" i="56"/>
  <c r="M331" i="56"/>
  <c r="M324" i="56"/>
  <c r="M327" i="56"/>
  <c r="M329" i="56"/>
  <c r="M322" i="56"/>
  <c r="M333" i="56"/>
  <c r="M328" i="56"/>
  <c r="M330" i="56"/>
  <c r="C391" i="56"/>
  <c r="C392" i="56" s="1"/>
  <c r="C395" i="56" s="1"/>
  <c r="C369" i="56"/>
  <c r="E397" i="55"/>
  <c r="F385" i="55"/>
  <c r="J385" i="55"/>
  <c r="AZ323" i="57" l="1"/>
  <c r="E344" i="57"/>
  <c r="J344" i="57" s="1"/>
  <c r="E340" i="57"/>
  <c r="J340" i="57" s="1"/>
  <c r="J337" i="57"/>
  <c r="F337" i="57"/>
  <c r="AD311" i="57"/>
  <c r="BR31" i="57" s="1"/>
  <c r="Q24" i="59" s="1"/>
  <c r="AB323" i="57"/>
  <c r="J341" i="57"/>
  <c r="F341" i="57"/>
  <c r="E342" i="57"/>
  <c r="J343" i="57"/>
  <c r="F343" i="57"/>
  <c r="F347" i="57"/>
  <c r="J347" i="57"/>
  <c r="J345" i="57"/>
  <c r="F345" i="57"/>
  <c r="E339" i="57"/>
  <c r="E346" i="57"/>
  <c r="E338" i="57"/>
  <c r="O323" i="56"/>
  <c r="AH32" i="56" s="1"/>
  <c r="Q323" i="56"/>
  <c r="G387" i="55"/>
  <c r="AK12" i="55"/>
  <c r="O331" i="56"/>
  <c r="AH40" i="56" s="1"/>
  <c r="Q326" i="56"/>
  <c r="F352" i="56" s="1"/>
  <c r="E352" i="56" s="1"/>
  <c r="Q332" i="56"/>
  <c r="O325" i="56"/>
  <c r="AH34" i="56" s="1"/>
  <c r="O332" i="56"/>
  <c r="AH41" i="56" s="1"/>
  <c r="O326" i="56"/>
  <c r="AH35" i="56" s="1"/>
  <c r="Q331" i="56"/>
  <c r="N331" i="56"/>
  <c r="N325" i="56"/>
  <c r="Q328" i="56"/>
  <c r="N328" i="56"/>
  <c r="O328" i="56"/>
  <c r="AH37" i="56" s="1"/>
  <c r="Q327" i="56"/>
  <c r="O327" i="56"/>
  <c r="AH36" i="56" s="1"/>
  <c r="N327" i="56"/>
  <c r="N323" i="56"/>
  <c r="F349" i="56"/>
  <c r="F351" i="56"/>
  <c r="N332" i="56"/>
  <c r="Q322" i="56"/>
  <c r="N322" i="56"/>
  <c r="O322" i="56"/>
  <c r="AH31" i="56" s="1"/>
  <c r="M335" i="56"/>
  <c r="N326" i="56"/>
  <c r="O324" i="56"/>
  <c r="AH33" i="56" s="1"/>
  <c r="Q324" i="56"/>
  <c r="N324" i="56"/>
  <c r="Q333" i="56"/>
  <c r="O333" i="56"/>
  <c r="AH42" i="56" s="1"/>
  <c r="N333" i="56"/>
  <c r="Q330" i="56"/>
  <c r="N330" i="56"/>
  <c r="O330" i="56"/>
  <c r="AH39" i="56" s="1"/>
  <c r="Q329" i="56"/>
  <c r="N329" i="56"/>
  <c r="O329" i="56"/>
  <c r="AH38" i="56" s="1"/>
  <c r="J397" i="55"/>
  <c r="J398" i="55"/>
  <c r="F397" i="55"/>
  <c r="H385" i="55"/>
  <c r="F344" i="57" l="1"/>
  <c r="H344" i="57" s="1"/>
  <c r="AH344" i="57" s="1"/>
  <c r="F340" i="57"/>
  <c r="H340" i="57" s="1"/>
  <c r="AH340" i="57" s="1"/>
  <c r="J346" i="57"/>
  <c r="F346" i="57"/>
  <c r="H343" i="57"/>
  <c r="AH343" i="57" s="1"/>
  <c r="H347" i="57"/>
  <c r="AH347" i="57" s="1"/>
  <c r="J339" i="57"/>
  <c r="F339" i="57"/>
  <c r="AD323" i="57"/>
  <c r="F342" i="57"/>
  <c r="J342" i="57"/>
  <c r="E336" i="57"/>
  <c r="H345" i="57"/>
  <c r="AH345" i="57" s="1"/>
  <c r="H341" i="57"/>
  <c r="AH341" i="57" s="1"/>
  <c r="H337" i="57"/>
  <c r="AH337" i="57" s="1"/>
  <c r="J338" i="57"/>
  <c r="F338" i="57"/>
  <c r="H397" i="55"/>
  <c r="H352" i="56"/>
  <c r="G352" i="56" s="1"/>
  <c r="K352" i="56"/>
  <c r="F358" i="56"/>
  <c r="K358" i="56" s="1"/>
  <c r="F357" i="56"/>
  <c r="E357" i="56" s="1"/>
  <c r="F356" i="56"/>
  <c r="F353" i="56"/>
  <c r="F350" i="56"/>
  <c r="F348" i="56"/>
  <c r="Q335" i="56"/>
  <c r="F359" i="56"/>
  <c r="E351" i="56"/>
  <c r="K351" i="56"/>
  <c r="K349" i="56"/>
  <c r="E349" i="56"/>
  <c r="F355" i="56"/>
  <c r="F354" i="56"/>
  <c r="AK10" i="55"/>
  <c r="G385" i="55"/>
  <c r="H398" i="55"/>
  <c r="G397" i="55"/>
  <c r="AK22" i="55"/>
  <c r="E358" i="56" l="1"/>
  <c r="AI15" i="56"/>
  <c r="BN12" i="57"/>
  <c r="R9" i="59" s="1"/>
  <c r="G337" i="57"/>
  <c r="C327" i="57"/>
  <c r="C328" i="57" s="1"/>
  <c r="C331" i="57" s="1"/>
  <c r="BN15" i="57"/>
  <c r="R12" i="59" s="1"/>
  <c r="G340" i="57"/>
  <c r="H342" i="57"/>
  <c r="AH342" i="57" s="1"/>
  <c r="H338" i="57"/>
  <c r="AH338" i="57" s="1"/>
  <c r="BN22" i="57"/>
  <c r="R19" i="59" s="1"/>
  <c r="G347" i="57"/>
  <c r="H346" i="57"/>
  <c r="AH346" i="57" s="1"/>
  <c r="F336" i="57"/>
  <c r="J336" i="57"/>
  <c r="E348" i="57"/>
  <c r="H339" i="57"/>
  <c r="AH339" i="57" s="1"/>
  <c r="BN16" i="57"/>
  <c r="R13" i="59" s="1"/>
  <c r="G341" i="57"/>
  <c r="G343" i="57"/>
  <c r="BN18" i="57"/>
  <c r="R15" i="59" s="1"/>
  <c r="BN20" i="57"/>
  <c r="R17" i="59" s="1"/>
  <c r="G345" i="57"/>
  <c r="G344" i="57"/>
  <c r="BN19" i="57"/>
  <c r="R16" i="59" s="1"/>
  <c r="I352" i="56"/>
  <c r="H357" i="56"/>
  <c r="AI20" i="56" s="1"/>
  <c r="K357" i="56"/>
  <c r="H358" i="56"/>
  <c r="AI21" i="56" s="1"/>
  <c r="H349" i="56"/>
  <c r="I349" i="56" s="1"/>
  <c r="H351" i="56"/>
  <c r="AI14" i="56" s="1"/>
  <c r="I357" i="56"/>
  <c r="K348" i="56"/>
  <c r="E348" i="56"/>
  <c r="F361" i="56"/>
  <c r="E356" i="56"/>
  <c r="K356" i="56"/>
  <c r="E350" i="56"/>
  <c r="K350" i="56"/>
  <c r="E355" i="56"/>
  <c r="K355" i="56"/>
  <c r="AI12" i="56"/>
  <c r="G349" i="56"/>
  <c r="E354" i="56"/>
  <c r="K354" i="56"/>
  <c r="E353" i="56"/>
  <c r="K353" i="56"/>
  <c r="K359" i="56"/>
  <c r="E359" i="56"/>
  <c r="G358" i="56"/>
  <c r="I358" i="56"/>
  <c r="K395" i="55"/>
  <c r="M395" i="55" s="1"/>
  <c r="N395" i="55" s="1"/>
  <c r="K394" i="55"/>
  <c r="M394" i="55" s="1"/>
  <c r="N394" i="55" s="1"/>
  <c r="K387" i="55"/>
  <c r="M387" i="55" s="1"/>
  <c r="N387" i="55" s="1"/>
  <c r="K388" i="55"/>
  <c r="M388" i="55" s="1"/>
  <c r="N388" i="55" s="1"/>
  <c r="K389" i="55"/>
  <c r="M389" i="55" s="1"/>
  <c r="N389" i="55" s="1"/>
  <c r="K390" i="55"/>
  <c r="M390" i="55" s="1"/>
  <c r="N390" i="55" s="1"/>
  <c r="K392" i="55"/>
  <c r="M392" i="55" s="1"/>
  <c r="N392" i="55" s="1"/>
  <c r="K396" i="55"/>
  <c r="M396" i="55" s="1"/>
  <c r="N396" i="55" s="1"/>
  <c r="K393" i="55"/>
  <c r="M393" i="55" s="1"/>
  <c r="N393" i="55" s="1"/>
  <c r="K386" i="55"/>
  <c r="M386" i="55" s="1"/>
  <c r="N386" i="55" s="1"/>
  <c r="K391" i="55"/>
  <c r="M391" i="55" s="1"/>
  <c r="N391" i="55" s="1"/>
  <c r="G398" i="55"/>
  <c r="K385" i="55"/>
  <c r="M385" i="55" s="1"/>
  <c r="G357" i="56" l="1"/>
  <c r="J348" i="57"/>
  <c r="H336" i="57"/>
  <c r="AH336" i="57" s="1"/>
  <c r="F348" i="57"/>
  <c r="S336" i="57" s="1"/>
  <c r="BN13" i="57"/>
  <c r="R10" i="59" s="1"/>
  <c r="G338" i="57"/>
  <c r="J349" i="57"/>
  <c r="BN17" i="57"/>
  <c r="R14" i="59" s="1"/>
  <c r="G342" i="57"/>
  <c r="BN21" i="57"/>
  <c r="R18" i="59" s="1"/>
  <c r="G346" i="57"/>
  <c r="G339" i="57"/>
  <c r="BN14" i="57"/>
  <c r="R11" i="59" s="1"/>
  <c r="H354" i="56"/>
  <c r="I354" i="56" s="1"/>
  <c r="H356" i="56"/>
  <c r="G351" i="56"/>
  <c r="H355" i="56"/>
  <c r="G355" i="56" s="1"/>
  <c r="H359" i="56"/>
  <c r="AI22" i="56" s="1"/>
  <c r="I351" i="56"/>
  <c r="H353" i="56"/>
  <c r="G353" i="56" s="1"/>
  <c r="H350" i="56"/>
  <c r="G350" i="56" s="1"/>
  <c r="K361" i="56"/>
  <c r="AI16" i="56"/>
  <c r="AI17" i="56"/>
  <c r="G354" i="56"/>
  <c r="I356" i="56"/>
  <c r="G356" i="56"/>
  <c r="AI19" i="56"/>
  <c r="H348" i="56"/>
  <c r="E361" i="56"/>
  <c r="Q395" i="55"/>
  <c r="O395" i="55"/>
  <c r="AK40" i="55" s="1"/>
  <c r="Q390" i="55"/>
  <c r="O390" i="55"/>
  <c r="AK35" i="55" s="1"/>
  <c r="O393" i="55"/>
  <c r="AK38" i="55" s="1"/>
  <c r="Q393" i="55"/>
  <c r="O396" i="55"/>
  <c r="AK41" i="55" s="1"/>
  <c r="Q396" i="55"/>
  <c r="M397" i="55"/>
  <c r="N385" i="55"/>
  <c r="Q392" i="55"/>
  <c r="O392" i="55"/>
  <c r="AK37" i="55" s="1"/>
  <c r="L393" i="55"/>
  <c r="L392" i="55"/>
  <c r="L387" i="55"/>
  <c r="L395" i="55"/>
  <c r="L389" i="55"/>
  <c r="L394" i="55"/>
  <c r="L390" i="55"/>
  <c r="L391" i="55"/>
  <c r="L386" i="55"/>
  <c r="L388" i="55"/>
  <c r="L396" i="55"/>
  <c r="O389" i="55"/>
  <c r="AK34" i="55" s="1"/>
  <c r="Q389" i="55"/>
  <c r="L385" i="55"/>
  <c r="Q388" i="55"/>
  <c r="O388" i="55"/>
  <c r="AK33" i="55" s="1"/>
  <c r="O391" i="55"/>
  <c r="AK36" i="55" s="1"/>
  <c r="Q391" i="55"/>
  <c r="Q387" i="55"/>
  <c r="O387" i="55"/>
  <c r="AK32" i="55" s="1"/>
  <c r="Q386" i="55"/>
  <c r="O386" i="55"/>
  <c r="AK31" i="55" s="1"/>
  <c r="Q394" i="55"/>
  <c r="O394" i="55"/>
  <c r="AK39" i="55" s="1"/>
  <c r="U336" i="57" l="1"/>
  <c r="BN11" i="57"/>
  <c r="R8" i="59" s="1"/>
  <c r="G336" i="57"/>
  <c r="H349" i="57"/>
  <c r="O336" i="57" s="1"/>
  <c r="H348" i="57"/>
  <c r="AH348" i="57" s="1"/>
  <c r="S347" i="57"/>
  <c r="U347" i="57" s="1"/>
  <c r="S343" i="57"/>
  <c r="U343" i="57" s="1"/>
  <c r="S344" i="57"/>
  <c r="U344" i="57" s="1"/>
  <c r="S345" i="57"/>
  <c r="U345" i="57" s="1"/>
  <c r="S341" i="57"/>
  <c r="U341" i="57" s="1"/>
  <c r="S337" i="57"/>
  <c r="U337" i="57" s="1"/>
  <c r="S340" i="57"/>
  <c r="U340" i="57" s="1"/>
  <c r="S342" i="57"/>
  <c r="U342" i="57" s="1"/>
  <c r="S346" i="57"/>
  <c r="U346" i="57" s="1"/>
  <c r="S338" i="57"/>
  <c r="U338" i="57" s="1"/>
  <c r="S339" i="57"/>
  <c r="U339" i="57" s="1"/>
  <c r="AI18" i="56"/>
  <c r="I359" i="56"/>
  <c r="I355" i="56"/>
  <c r="AI13" i="56"/>
  <c r="I350" i="56"/>
  <c r="G359" i="56"/>
  <c r="I353" i="56"/>
  <c r="H361" i="56"/>
  <c r="G361" i="56" s="1"/>
  <c r="AI11" i="56"/>
  <c r="I348" i="56"/>
  <c r="G348" i="56"/>
  <c r="H362" i="56"/>
  <c r="O385" i="55"/>
  <c r="AK30" i="55" s="1"/>
  <c r="N397" i="55"/>
  <c r="Q385" i="55"/>
  <c r="U348" i="57" l="1"/>
  <c r="BN23" i="57"/>
  <c r="R20" i="59" s="1"/>
  <c r="G348" i="57"/>
  <c r="O347" i="57"/>
  <c r="O337" i="57"/>
  <c r="O341" i="57"/>
  <c r="O344" i="57"/>
  <c r="O345" i="57"/>
  <c r="O340" i="57"/>
  <c r="O343" i="57"/>
  <c r="O338" i="57"/>
  <c r="O339" i="57"/>
  <c r="O346" i="57"/>
  <c r="O342" i="57"/>
  <c r="G349" i="57"/>
  <c r="P336" i="57" s="1"/>
  <c r="Q336" i="57" s="1"/>
  <c r="G362" i="56"/>
  <c r="Q397" i="55"/>
  <c r="O397" i="55"/>
  <c r="AI23" i="56"/>
  <c r="H341" i="56"/>
  <c r="H340" i="56"/>
  <c r="H342" i="56"/>
  <c r="L358" i="56"/>
  <c r="L351" i="56"/>
  <c r="L352" i="56"/>
  <c r="L357" i="56"/>
  <c r="L349" i="56"/>
  <c r="L350" i="56"/>
  <c r="L353" i="56"/>
  <c r="L354" i="56"/>
  <c r="L359" i="56"/>
  <c r="L356" i="56"/>
  <c r="L348" i="56"/>
  <c r="L355" i="56"/>
  <c r="AB336" i="57" l="1"/>
  <c r="AZ336" i="57" s="1"/>
  <c r="P347" i="57"/>
  <c r="Q347" i="57" s="1"/>
  <c r="AB347" i="57" s="1"/>
  <c r="AZ347" i="57" s="1"/>
  <c r="P337" i="57"/>
  <c r="Q337" i="57" s="1"/>
  <c r="P344" i="57"/>
  <c r="Q344" i="57" s="1"/>
  <c r="AB344" i="57" s="1"/>
  <c r="AZ344" i="57" s="1"/>
  <c r="P340" i="57"/>
  <c r="Q340" i="57" s="1"/>
  <c r="AB340" i="57" s="1"/>
  <c r="AZ340" i="57" s="1"/>
  <c r="P343" i="57"/>
  <c r="Q343" i="57" s="1"/>
  <c r="AB343" i="57" s="1"/>
  <c r="AZ343" i="57" s="1"/>
  <c r="P341" i="57"/>
  <c r="Q341" i="57" s="1"/>
  <c r="AB341" i="57" s="1"/>
  <c r="AZ341" i="57" s="1"/>
  <c r="P345" i="57"/>
  <c r="Q345" i="57" s="1"/>
  <c r="AB345" i="57" s="1"/>
  <c r="AZ345" i="57" s="1"/>
  <c r="P338" i="57"/>
  <c r="Q338" i="57" s="1"/>
  <c r="AB338" i="57" s="1"/>
  <c r="AZ338" i="57" s="1"/>
  <c r="P339" i="57"/>
  <c r="Q339" i="57" s="1"/>
  <c r="AB339" i="57" s="1"/>
  <c r="AZ339" i="57" s="1"/>
  <c r="P342" i="57"/>
  <c r="Q342" i="57" s="1"/>
  <c r="AB342" i="57" s="1"/>
  <c r="AZ342" i="57" s="1"/>
  <c r="P346" i="57"/>
  <c r="Q346" i="57" s="1"/>
  <c r="AB346" i="57" s="1"/>
  <c r="AZ346" i="57" s="1"/>
  <c r="I342" i="56"/>
  <c r="J342" i="56" s="1"/>
  <c r="I340" i="56"/>
  <c r="J340" i="56" s="1"/>
  <c r="I341" i="56"/>
  <c r="J341" i="56" s="1"/>
  <c r="M349" i="56" s="1"/>
  <c r="AD346" i="57" l="1"/>
  <c r="BS41" i="57" s="1"/>
  <c r="R34" i="59" s="1"/>
  <c r="AD342" i="57"/>
  <c r="BS37" i="57" s="1"/>
  <c r="R30" i="59" s="1"/>
  <c r="AB337" i="57"/>
  <c r="AZ337" i="57" s="1"/>
  <c r="AZ348" i="57" s="1"/>
  <c r="Q348" i="57"/>
  <c r="AD339" i="57"/>
  <c r="BS34" i="57" s="1"/>
  <c r="R27" i="59" s="1"/>
  <c r="AD340" i="57"/>
  <c r="BS35" i="57" s="1"/>
  <c r="R28" i="59" s="1"/>
  <c r="AD343" i="57"/>
  <c r="BS38" i="57" s="1"/>
  <c r="R31" i="59" s="1"/>
  <c r="AD336" i="57"/>
  <c r="BS31" i="57" s="1"/>
  <c r="R24" i="59" s="1"/>
  <c r="AD344" i="57"/>
  <c r="BS39" i="57" s="1"/>
  <c r="R32" i="59" s="1"/>
  <c r="AD338" i="57"/>
  <c r="BS33" i="57" s="1"/>
  <c r="R26" i="59" s="1"/>
  <c r="AD347" i="57"/>
  <c r="BS42" i="57" s="1"/>
  <c r="R35" i="59" s="1"/>
  <c r="AD345" i="57"/>
  <c r="BS40" i="57" s="1"/>
  <c r="R33" i="59" s="1"/>
  <c r="AD341" i="57"/>
  <c r="BS36" i="57" s="1"/>
  <c r="R29" i="59" s="1"/>
  <c r="M358" i="56"/>
  <c r="M352" i="56"/>
  <c r="M351" i="56"/>
  <c r="M354" i="56"/>
  <c r="O349" i="56"/>
  <c r="AI32" i="56" s="1"/>
  <c r="Q349" i="56"/>
  <c r="M350" i="56"/>
  <c r="M348" i="56"/>
  <c r="M355" i="56"/>
  <c r="M359" i="56"/>
  <c r="M357" i="56"/>
  <c r="M356" i="56"/>
  <c r="M353" i="56"/>
  <c r="AD337" i="57" l="1"/>
  <c r="BS32" i="57" s="1"/>
  <c r="R25" i="59" s="1"/>
  <c r="E365" i="57"/>
  <c r="AB348" i="57"/>
  <c r="E367" i="57"/>
  <c r="E369" i="57"/>
  <c r="E372" i="57"/>
  <c r="E361" i="57"/>
  <c r="E366" i="57"/>
  <c r="E364" i="57"/>
  <c r="E363" i="57"/>
  <c r="E371" i="57"/>
  <c r="E370" i="57"/>
  <c r="E368" i="57"/>
  <c r="Q351" i="56"/>
  <c r="Q352" i="56"/>
  <c r="O354" i="56"/>
  <c r="AI37" i="56" s="1"/>
  <c r="O358" i="56"/>
  <c r="AI41" i="56" s="1"/>
  <c r="Q358" i="56"/>
  <c r="O352" i="56"/>
  <c r="AI35" i="56" s="1"/>
  <c r="O351" i="56"/>
  <c r="AI34" i="56" s="1"/>
  <c r="Q354" i="56"/>
  <c r="N349" i="56"/>
  <c r="N351" i="56"/>
  <c r="Q356" i="56"/>
  <c r="N356" i="56"/>
  <c r="O356" i="56"/>
  <c r="AI39" i="56" s="1"/>
  <c r="N358" i="56"/>
  <c r="O357" i="56"/>
  <c r="AI40" i="56" s="1"/>
  <c r="Q357" i="56"/>
  <c r="N357" i="56"/>
  <c r="F375" i="56"/>
  <c r="O355" i="56"/>
  <c r="AI38" i="56" s="1"/>
  <c r="Q355" i="56"/>
  <c r="N355" i="56"/>
  <c r="Q359" i="56"/>
  <c r="O359" i="56"/>
  <c r="AI42" i="56" s="1"/>
  <c r="N359" i="56"/>
  <c r="O348" i="56"/>
  <c r="AI31" i="56" s="1"/>
  <c r="Q348" i="56"/>
  <c r="M361" i="56"/>
  <c r="N348" i="56"/>
  <c r="N354" i="56"/>
  <c r="O350" i="56"/>
  <c r="AI33" i="56" s="1"/>
  <c r="N350" i="56"/>
  <c r="Q350" i="56"/>
  <c r="N352" i="56"/>
  <c r="O353" i="56"/>
  <c r="AI36" i="56" s="1"/>
  <c r="Q353" i="56"/>
  <c r="N353" i="56"/>
  <c r="F377" i="56" l="1"/>
  <c r="F378" i="56"/>
  <c r="K378" i="56" s="1"/>
  <c r="F366" i="57"/>
  <c r="J366" i="57"/>
  <c r="J361" i="57"/>
  <c r="F361" i="57"/>
  <c r="J367" i="57"/>
  <c r="F367" i="57"/>
  <c r="AD348" i="57"/>
  <c r="J363" i="57"/>
  <c r="F363" i="57"/>
  <c r="J365" i="57"/>
  <c r="F365" i="57"/>
  <c r="J372" i="57"/>
  <c r="F372" i="57"/>
  <c r="E362" i="57"/>
  <c r="E373" i="57" s="1"/>
  <c r="C352" i="57"/>
  <c r="C353" i="57" s="1"/>
  <c r="C356" i="57" s="1"/>
  <c r="J368" i="57"/>
  <c r="F368" i="57"/>
  <c r="J364" i="57"/>
  <c r="F364" i="57"/>
  <c r="F371" i="57"/>
  <c r="J371" i="57"/>
  <c r="F370" i="57"/>
  <c r="J370" i="57"/>
  <c r="J369" i="57"/>
  <c r="F369" i="57"/>
  <c r="F380" i="56"/>
  <c r="K380" i="56" s="1"/>
  <c r="F384" i="56"/>
  <c r="F376" i="56"/>
  <c r="E384" i="56"/>
  <c r="K384" i="56"/>
  <c r="F379" i="56"/>
  <c r="F381" i="56"/>
  <c r="E378" i="56"/>
  <c r="F385" i="56"/>
  <c r="F374" i="56"/>
  <c r="Q361" i="56"/>
  <c r="F382" i="56"/>
  <c r="F383" i="56"/>
  <c r="E375" i="56"/>
  <c r="K375" i="56"/>
  <c r="K377" i="56"/>
  <c r="E377" i="56"/>
  <c r="E380" i="56" l="1"/>
  <c r="H371" i="57"/>
  <c r="AH371" i="57" s="1"/>
  <c r="H372" i="57"/>
  <c r="AH372" i="57" s="1"/>
  <c r="H368" i="57"/>
  <c r="AH368" i="57" s="1"/>
  <c r="H365" i="57"/>
  <c r="AH365" i="57" s="1"/>
  <c r="H361" i="57"/>
  <c r="AH361" i="57" s="1"/>
  <c r="H364" i="57"/>
  <c r="AH364" i="57" s="1"/>
  <c r="H367" i="57"/>
  <c r="AH367" i="57" s="1"/>
  <c r="H369" i="57"/>
  <c r="AH369" i="57" s="1"/>
  <c r="H363" i="57"/>
  <c r="AH363" i="57" s="1"/>
  <c r="H370" i="57"/>
  <c r="AH370" i="57" s="1"/>
  <c r="J362" i="57"/>
  <c r="J374" i="57" s="1"/>
  <c r="F362" i="57"/>
  <c r="H366" i="57"/>
  <c r="AH366" i="57" s="1"/>
  <c r="H384" i="56"/>
  <c r="H380" i="56"/>
  <c r="G380" i="56" s="1"/>
  <c r="H378" i="56"/>
  <c r="G378" i="56" s="1"/>
  <c r="H377" i="56"/>
  <c r="I377" i="56" s="1"/>
  <c r="H375" i="56"/>
  <c r="AJ12" i="56"/>
  <c r="I375" i="56"/>
  <c r="G375" i="56"/>
  <c r="AJ15" i="56"/>
  <c r="I378" i="56"/>
  <c r="I384" i="56"/>
  <c r="G384" i="56"/>
  <c r="AJ21" i="56"/>
  <c r="K374" i="56"/>
  <c r="E374" i="56"/>
  <c r="F387" i="56"/>
  <c r="E383" i="56"/>
  <c r="K383" i="56"/>
  <c r="E381" i="56"/>
  <c r="K381" i="56"/>
  <c r="E385" i="56"/>
  <c r="K385" i="56"/>
  <c r="E376" i="56"/>
  <c r="K376" i="56"/>
  <c r="E382" i="56"/>
  <c r="K382" i="56"/>
  <c r="E379" i="56"/>
  <c r="K379" i="56"/>
  <c r="F373" i="57" l="1"/>
  <c r="S361" i="57" s="1"/>
  <c r="U361" i="57" s="1"/>
  <c r="J373" i="57"/>
  <c r="G368" i="57"/>
  <c r="BO18" i="57"/>
  <c r="S15" i="59" s="1"/>
  <c r="H362" i="57"/>
  <c r="AH362" i="57" s="1"/>
  <c r="G371" i="57"/>
  <c r="BO21" i="57"/>
  <c r="S18" i="59" s="1"/>
  <c r="BO16" i="57"/>
  <c r="S13" i="59" s="1"/>
  <c r="G366" i="57"/>
  <c r="G367" i="57"/>
  <c r="BO17" i="57"/>
  <c r="S14" i="59" s="1"/>
  <c r="BO11" i="57"/>
  <c r="S8" i="59" s="1"/>
  <c r="G361" i="57"/>
  <c r="BO22" i="57"/>
  <c r="S19" i="59" s="1"/>
  <c r="G372" i="57"/>
  <c r="BO13" i="57"/>
  <c r="S10" i="59" s="1"/>
  <c r="G363" i="57"/>
  <c r="G364" i="57"/>
  <c r="BO14" i="57"/>
  <c r="S11" i="59" s="1"/>
  <c r="BO15" i="57"/>
  <c r="S12" i="59" s="1"/>
  <c r="G365" i="57"/>
  <c r="BO20" i="57"/>
  <c r="S17" i="59" s="1"/>
  <c r="G370" i="57"/>
  <c r="G369" i="57"/>
  <c r="BO19" i="57"/>
  <c r="S16" i="59" s="1"/>
  <c r="I380" i="56"/>
  <c r="AJ17" i="56"/>
  <c r="H376" i="56"/>
  <c r="H379" i="56"/>
  <c r="AJ16" i="56" s="1"/>
  <c r="H383" i="56"/>
  <c r="G383" i="56" s="1"/>
  <c r="H385" i="56"/>
  <c r="G385" i="56" s="1"/>
  <c r="AJ14" i="56"/>
  <c r="G377" i="56"/>
  <c r="H382" i="56"/>
  <c r="I382" i="56" s="1"/>
  <c r="H381" i="56"/>
  <c r="G381" i="56" s="1"/>
  <c r="H374" i="56"/>
  <c r="E387" i="56"/>
  <c r="AJ13" i="56"/>
  <c r="I376" i="56"/>
  <c r="G376" i="56"/>
  <c r="K387" i="56"/>
  <c r="S364" i="57" l="1"/>
  <c r="U364" i="57" s="1"/>
  <c r="S363" i="57"/>
  <c r="U363" i="57" s="1"/>
  <c r="H373" i="57"/>
  <c r="AH373" i="57" s="1"/>
  <c r="S367" i="57"/>
  <c r="U367" i="57" s="1"/>
  <c r="S369" i="57"/>
  <c r="U369" i="57" s="1"/>
  <c r="S370" i="57"/>
  <c r="U370" i="57" s="1"/>
  <c r="S371" i="57"/>
  <c r="U371" i="57" s="1"/>
  <c r="S368" i="57"/>
  <c r="U368" i="57" s="1"/>
  <c r="S372" i="57"/>
  <c r="U372" i="57" s="1"/>
  <c r="S365" i="57"/>
  <c r="U365" i="57" s="1"/>
  <c r="S362" i="57"/>
  <c r="U362" i="57" s="1"/>
  <c r="S366" i="57"/>
  <c r="U366" i="57" s="1"/>
  <c r="BO12" i="57"/>
  <c r="S9" i="59" s="1"/>
  <c r="G362" i="57"/>
  <c r="H374" i="57"/>
  <c r="G382" i="56"/>
  <c r="AJ18" i="56"/>
  <c r="I379" i="56"/>
  <c r="I381" i="56"/>
  <c r="AJ20" i="56"/>
  <c r="I383" i="56"/>
  <c r="AJ19" i="56"/>
  <c r="I385" i="56"/>
  <c r="G379" i="56"/>
  <c r="AJ22" i="56"/>
  <c r="H387" i="56"/>
  <c r="G387" i="56" s="1"/>
  <c r="AJ11" i="56"/>
  <c r="H388" i="56"/>
  <c r="I374" i="56"/>
  <c r="G374" i="56"/>
  <c r="BO23" i="57" l="1"/>
  <c r="S20" i="59" s="1"/>
  <c r="G373" i="57"/>
  <c r="U373" i="57"/>
  <c r="G388" i="56"/>
  <c r="G374" i="57"/>
  <c r="O363" i="57"/>
  <c r="O369" i="57"/>
  <c r="O361" i="57"/>
  <c r="O366" i="57"/>
  <c r="O368" i="57"/>
  <c r="O364" i="57"/>
  <c r="O367" i="57"/>
  <c r="O370" i="57"/>
  <c r="O371" i="57"/>
  <c r="O365" i="57"/>
  <c r="O372" i="57"/>
  <c r="O362" i="57"/>
  <c r="L379" i="56"/>
  <c r="AJ23" i="56"/>
  <c r="L374" i="56"/>
  <c r="L382" i="56"/>
  <c r="H366" i="56"/>
  <c r="H368" i="56"/>
  <c r="H367" i="56"/>
  <c r="L380" i="56"/>
  <c r="L378" i="56"/>
  <c r="L375" i="56"/>
  <c r="L377" i="56"/>
  <c r="L381" i="56"/>
  <c r="L383" i="56"/>
  <c r="L384" i="56"/>
  <c r="L385" i="56"/>
  <c r="L376" i="56"/>
  <c r="P367" i="57" l="1"/>
  <c r="Q367" i="57" s="1"/>
  <c r="AB367" i="57" s="1"/>
  <c r="AZ367" i="57" s="1"/>
  <c r="P364" i="57"/>
  <c r="Q364" i="57" s="1"/>
  <c r="AB364" i="57" s="1"/>
  <c r="AZ364" i="57" s="1"/>
  <c r="P363" i="57"/>
  <c r="Q363" i="57" s="1"/>
  <c r="AB363" i="57" s="1"/>
  <c r="AZ363" i="57" s="1"/>
  <c r="P368" i="57"/>
  <c r="Q368" i="57" s="1"/>
  <c r="AB368" i="57" s="1"/>
  <c r="AZ368" i="57" s="1"/>
  <c r="P369" i="57"/>
  <c r="Q369" i="57" s="1"/>
  <c r="AB369" i="57" s="1"/>
  <c r="AZ369" i="57" s="1"/>
  <c r="P361" i="57"/>
  <c r="Q361" i="57" s="1"/>
  <c r="P365" i="57"/>
  <c r="Q365" i="57" s="1"/>
  <c r="AB365" i="57" s="1"/>
  <c r="AZ365" i="57" s="1"/>
  <c r="P366" i="57"/>
  <c r="Q366" i="57" s="1"/>
  <c r="AB366" i="57" s="1"/>
  <c r="AZ366" i="57" s="1"/>
  <c r="P370" i="57"/>
  <c r="Q370" i="57" s="1"/>
  <c r="AB370" i="57" s="1"/>
  <c r="AZ370" i="57" s="1"/>
  <c r="P372" i="57"/>
  <c r="Q372" i="57" s="1"/>
  <c r="AB372" i="57" s="1"/>
  <c r="AZ372" i="57" s="1"/>
  <c r="P371" i="57"/>
  <c r="Q371" i="57" s="1"/>
  <c r="AB371" i="57" s="1"/>
  <c r="AZ371" i="57" s="1"/>
  <c r="P362" i="57"/>
  <c r="Q362" i="57" s="1"/>
  <c r="AB362" i="57" s="1"/>
  <c r="AZ362" i="57" s="1"/>
  <c r="I368" i="56"/>
  <c r="J368" i="56" s="1"/>
  <c r="I366" i="56"/>
  <c r="J366" i="56" s="1"/>
  <c r="I367" i="56"/>
  <c r="J367" i="56" s="1"/>
  <c r="M385" i="56" s="1"/>
  <c r="AD369" i="57" l="1"/>
  <c r="BT39" i="57" s="1"/>
  <c r="S32" i="59" s="1"/>
  <c r="AD363" i="57"/>
  <c r="BT33" i="57" s="1"/>
  <c r="S26" i="59" s="1"/>
  <c r="AD362" i="57"/>
  <c r="BT32" i="57" s="1"/>
  <c r="S25" i="59" s="1"/>
  <c r="AD368" i="57"/>
  <c r="BT38" i="57" s="1"/>
  <c r="S31" i="59" s="1"/>
  <c r="AD371" i="57"/>
  <c r="BT41" i="57" s="1"/>
  <c r="S34" i="59" s="1"/>
  <c r="AD372" i="57"/>
  <c r="BT42" i="57" s="1"/>
  <c r="S35" i="59" s="1"/>
  <c r="AD364" i="57"/>
  <c r="BT34" i="57" s="1"/>
  <c r="S27" i="59" s="1"/>
  <c r="AD370" i="57"/>
  <c r="BT40" i="57" s="1"/>
  <c r="S33" i="59" s="1"/>
  <c r="AD367" i="57"/>
  <c r="BT37" i="57" s="1"/>
  <c r="S30" i="59" s="1"/>
  <c r="AD365" i="57"/>
  <c r="BT35" i="57" s="1"/>
  <c r="S28" i="59" s="1"/>
  <c r="Q373" i="57"/>
  <c r="AB361" i="57"/>
  <c r="AZ361" i="57" s="1"/>
  <c r="AZ373" i="57" s="1"/>
  <c r="AD366" i="57"/>
  <c r="BT36" i="57" s="1"/>
  <c r="S29" i="59" s="1"/>
  <c r="M377" i="56"/>
  <c r="M376" i="56"/>
  <c r="M380" i="56"/>
  <c r="M378" i="56"/>
  <c r="M384" i="56"/>
  <c r="M374" i="56"/>
  <c r="M379" i="56"/>
  <c r="M382" i="56"/>
  <c r="M381" i="56"/>
  <c r="Q385" i="56"/>
  <c r="O385" i="56"/>
  <c r="AJ42" i="56" s="1"/>
  <c r="M383" i="56"/>
  <c r="M375" i="56"/>
  <c r="AB373" i="57" l="1"/>
  <c r="AD361" i="57"/>
  <c r="BT31" i="57" s="1"/>
  <c r="S24" i="59" s="1"/>
  <c r="E395" i="57"/>
  <c r="E390" i="57"/>
  <c r="E396" i="57"/>
  <c r="E388" i="57"/>
  <c r="E389" i="57"/>
  <c r="E391" i="57"/>
  <c r="E393" i="57"/>
  <c r="E394" i="57"/>
  <c r="E392" i="57"/>
  <c r="E397" i="57"/>
  <c r="E387" i="57"/>
  <c r="Q384" i="56"/>
  <c r="O378" i="56"/>
  <c r="AJ35" i="56" s="1"/>
  <c r="O376" i="56"/>
  <c r="AJ33" i="56" s="1"/>
  <c r="Q380" i="56"/>
  <c r="Q377" i="56"/>
  <c r="Q376" i="56"/>
  <c r="O377" i="56"/>
  <c r="AJ34" i="56" s="1"/>
  <c r="O380" i="56"/>
  <c r="AJ37" i="56" s="1"/>
  <c r="Q378" i="56"/>
  <c r="O384" i="56"/>
  <c r="AJ41" i="56" s="1"/>
  <c r="Q374" i="56"/>
  <c r="M387" i="56"/>
  <c r="N374" i="56"/>
  <c r="O374" i="56"/>
  <c r="AJ31" i="56" s="1"/>
  <c r="N380" i="56"/>
  <c r="F410" i="56"/>
  <c r="O375" i="56"/>
  <c r="AJ32" i="56" s="1"/>
  <c r="N375" i="56"/>
  <c r="Q375" i="56"/>
  <c r="N378" i="56"/>
  <c r="N376" i="56"/>
  <c r="F403" i="56"/>
  <c r="Q383" i="56"/>
  <c r="N383" i="56"/>
  <c r="O383" i="56"/>
  <c r="AJ40" i="56" s="1"/>
  <c r="N384" i="56"/>
  <c r="N377" i="56"/>
  <c r="F411" i="56"/>
  <c r="O379" i="56"/>
  <c r="AJ36" i="56" s="1"/>
  <c r="N379" i="56"/>
  <c r="Q379" i="56"/>
  <c r="N385" i="56"/>
  <c r="Q382" i="56"/>
  <c r="N382" i="56"/>
  <c r="O382" i="56"/>
  <c r="AJ39" i="56" s="1"/>
  <c r="Q381" i="56"/>
  <c r="N381" i="56"/>
  <c r="O381" i="56"/>
  <c r="AJ38" i="56" s="1"/>
  <c r="F406" i="56" l="1"/>
  <c r="J397" i="57"/>
  <c r="F397" i="57"/>
  <c r="F391" i="57"/>
  <c r="J391" i="57"/>
  <c r="J392" i="57"/>
  <c r="F392" i="57"/>
  <c r="F389" i="57"/>
  <c r="J389" i="57"/>
  <c r="E386" i="57"/>
  <c r="F390" i="57"/>
  <c r="J390" i="57"/>
  <c r="J395" i="57"/>
  <c r="F395" i="57"/>
  <c r="J394" i="57"/>
  <c r="F394" i="57"/>
  <c r="J388" i="57"/>
  <c r="F388" i="57"/>
  <c r="J387" i="57"/>
  <c r="F387" i="57"/>
  <c r="AD373" i="57"/>
  <c r="F393" i="57"/>
  <c r="J393" i="57"/>
  <c r="J396" i="57"/>
  <c r="F396" i="57"/>
  <c r="F402" i="56"/>
  <c r="K402" i="56" s="1"/>
  <c r="F404" i="56"/>
  <c r="K404" i="56" s="1"/>
  <c r="F407" i="56"/>
  <c r="E403" i="56"/>
  <c r="K403" i="56"/>
  <c r="E410" i="56"/>
  <c r="K410" i="56"/>
  <c r="F401" i="56"/>
  <c r="K411" i="56"/>
  <c r="E411" i="56"/>
  <c r="F408" i="56"/>
  <c r="E406" i="56"/>
  <c r="K406" i="56"/>
  <c r="F405" i="56"/>
  <c r="F409" i="56"/>
  <c r="F400" i="56"/>
  <c r="Q387" i="56"/>
  <c r="E402" i="56" l="1"/>
  <c r="E404" i="56"/>
  <c r="H387" i="57"/>
  <c r="AH387" i="57" s="1"/>
  <c r="C377" i="57"/>
  <c r="C378" i="57" s="1"/>
  <c r="C381" i="57" s="1"/>
  <c r="E398" i="57"/>
  <c r="F386" i="57"/>
  <c r="J386" i="57"/>
  <c r="H397" i="57"/>
  <c r="AH397" i="57" s="1"/>
  <c r="H393" i="57"/>
  <c r="AH393" i="57" s="1"/>
  <c r="H395" i="57"/>
  <c r="AH395" i="57" s="1"/>
  <c r="H389" i="57"/>
  <c r="AH389" i="57" s="1"/>
  <c r="H392" i="57"/>
  <c r="AH392" i="57" s="1"/>
  <c r="H390" i="57"/>
  <c r="AH390" i="57" s="1"/>
  <c r="H396" i="57"/>
  <c r="AH396" i="57" s="1"/>
  <c r="H388" i="57"/>
  <c r="AH388" i="57" s="1"/>
  <c r="H391" i="57"/>
  <c r="AH391" i="57" s="1"/>
  <c r="H394" i="57"/>
  <c r="AH394" i="57" s="1"/>
  <c r="H410" i="56"/>
  <c r="H404" i="56"/>
  <c r="G404" i="56" s="1"/>
  <c r="H402" i="56"/>
  <c r="I402" i="56" s="1"/>
  <c r="H406" i="56"/>
  <c r="AK17" i="56" s="1"/>
  <c r="H411" i="56"/>
  <c r="AK22" i="56" s="1"/>
  <c r="H403" i="56"/>
  <c r="I403" i="56" s="1"/>
  <c r="E401" i="56"/>
  <c r="K401" i="56"/>
  <c r="K409" i="56"/>
  <c r="E409" i="56"/>
  <c r="G410" i="56"/>
  <c r="I410" i="56"/>
  <c r="AK21" i="56"/>
  <c r="K405" i="56"/>
  <c r="E405" i="56"/>
  <c r="K400" i="56"/>
  <c r="E400" i="56"/>
  <c r="F413" i="56"/>
  <c r="K408" i="56"/>
  <c r="E408" i="56"/>
  <c r="AK14" i="56"/>
  <c r="I411" i="56"/>
  <c r="K407" i="56"/>
  <c r="E407" i="56"/>
  <c r="G411" i="56" l="1"/>
  <c r="AK15" i="56"/>
  <c r="G403" i="56"/>
  <c r="BP20" i="57"/>
  <c r="T17" i="59" s="1"/>
  <c r="G395" i="57"/>
  <c r="J398" i="57"/>
  <c r="G388" i="57"/>
  <c r="BP13" i="57"/>
  <c r="T10" i="59" s="1"/>
  <c r="H386" i="57"/>
  <c r="AH386" i="57" s="1"/>
  <c r="F398" i="57"/>
  <c r="S386" i="57" s="1"/>
  <c r="BP17" i="57"/>
  <c r="T14" i="59" s="1"/>
  <c r="G392" i="57"/>
  <c r="G394" i="57"/>
  <c r="BP19" i="57"/>
  <c r="T16" i="59" s="1"/>
  <c r="BP21" i="57"/>
  <c r="T18" i="59" s="1"/>
  <c r="G396" i="57"/>
  <c r="G393" i="57"/>
  <c r="BP18" i="57"/>
  <c r="T15" i="59" s="1"/>
  <c r="J399" i="57"/>
  <c r="BP14" i="57"/>
  <c r="T11" i="59" s="1"/>
  <c r="G389" i="57"/>
  <c r="BP16" i="57"/>
  <c r="T13" i="59" s="1"/>
  <c r="G391" i="57"/>
  <c r="G397" i="57"/>
  <c r="BP22" i="57"/>
  <c r="T19" i="59" s="1"/>
  <c r="G387" i="57"/>
  <c r="BP12" i="57"/>
  <c r="T9" i="59" s="1"/>
  <c r="BP15" i="57"/>
  <c r="T12" i="59" s="1"/>
  <c r="G390" i="57"/>
  <c r="G402" i="56"/>
  <c r="AK13" i="56"/>
  <c r="H409" i="56"/>
  <c r="I409" i="56" s="1"/>
  <c r="H408" i="56"/>
  <c r="AK19" i="56" s="1"/>
  <c r="H405" i="56"/>
  <c r="I405" i="56" s="1"/>
  <c r="H401" i="56"/>
  <c r="I401" i="56" s="1"/>
  <c r="H407" i="56"/>
  <c r="I407" i="56" s="1"/>
  <c r="I406" i="56"/>
  <c r="I404" i="56"/>
  <c r="G406" i="56"/>
  <c r="G401" i="56"/>
  <c r="H400" i="56"/>
  <c r="E413" i="56"/>
  <c r="AK18" i="56"/>
  <c r="G407" i="56"/>
  <c r="K413" i="56"/>
  <c r="AK12" i="56" l="1"/>
  <c r="U386" i="57"/>
  <c r="H398" i="57"/>
  <c r="AH398" i="57" s="1"/>
  <c r="S395" i="57"/>
  <c r="U395" i="57" s="1"/>
  <c r="S390" i="57"/>
  <c r="U390" i="57" s="1"/>
  <c r="S387" i="57"/>
  <c r="U387" i="57" s="1"/>
  <c r="S397" i="57"/>
  <c r="U397" i="57" s="1"/>
  <c r="S391" i="57"/>
  <c r="U391" i="57" s="1"/>
  <c r="S389" i="57"/>
  <c r="U389" i="57" s="1"/>
  <c r="S392" i="57"/>
  <c r="U392" i="57" s="1"/>
  <c r="S393" i="57"/>
  <c r="U393" i="57" s="1"/>
  <c r="S394" i="57"/>
  <c r="U394" i="57" s="1"/>
  <c r="S396" i="57"/>
  <c r="U396" i="57" s="1"/>
  <c r="S388" i="57"/>
  <c r="U388" i="57" s="1"/>
  <c r="BP11" i="57"/>
  <c r="T8" i="59" s="1"/>
  <c r="H399" i="57"/>
  <c r="G386" i="57"/>
  <c r="G409" i="56"/>
  <c r="AK20" i="56"/>
  <c r="I408" i="56"/>
  <c r="G408" i="56"/>
  <c r="G405" i="56"/>
  <c r="H413" i="56"/>
  <c r="G413" i="56" s="1"/>
  <c r="AK16" i="56"/>
  <c r="AK11" i="56"/>
  <c r="I400" i="56"/>
  <c r="G400" i="56"/>
  <c r="H414" i="56"/>
  <c r="U398" i="57" l="1"/>
  <c r="G398" i="57"/>
  <c r="BP23" i="57"/>
  <c r="T20" i="59" s="1"/>
  <c r="G399" i="57"/>
  <c r="P386" i="57" s="1"/>
  <c r="O386" i="57"/>
  <c r="O397" i="57"/>
  <c r="O395" i="57"/>
  <c r="O389" i="57"/>
  <c r="O396" i="57"/>
  <c r="O387" i="57"/>
  <c r="O392" i="57"/>
  <c r="O394" i="57"/>
  <c r="O391" i="57"/>
  <c r="O388" i="57"/>
  <c r="O393" i="57"/>
  <c r="O390" i="57"/>
  <c r="L401" i="56"/>
  <c r="G414" i="56"/>
  <c r="AK23" i="56"/>
  <c r="L400" i="56"/>
  <c r="H394" i="56"/>
  <c r="H392" i="56"/>
  <c r="H393" i="56"/>
  <c r="L410" i="56"/>
  <c r="L406" i="56"/>
  <c r="L403" i="56"/>
  <c r="L404" i="56"/>
  <c r="L402" i="56"/>
  <c r="L405" i="56"/>
  <c r="L409" i="56"/>
  <c r="L411" i="56"/>
  <c r="L407" i="56"/>
  <c r="L408" i="56"/>
  <c r="Q386" i="57" l="1"/>
  <c r="AB386" i="57" s="1"/>
  <c r="AZ386" i="57" s="1"/>
  <c r="P397" i="57"/>
  <c r="Q397" i="57" s="1"/>
  <c r="AB397" i="57" s="1"/>
  <c r="AZ397" i="57" s="1"/>
  <c r="P387" i="57"/>
  <c r="Q387" i="57" s="1"/>
  <c r="P394" i="57"/>
  <c r="Q394" i="57" s="1"/>
  <c r="AB394" i="57" s="1"/>
  <c r="AZ394" i="57" s="1"/>
  <c r="P389" i="57"/>
  <c r="Q389" i="57" s="1"/>
  <c r="AB389" i="57" s="1"/>
  <c r="AZ389" i="57" s="1"/>
  <c r="P390" i="57"/>
  <c r="Q390" i="57" s="1"/>
  <c r="AB390" i="57" s="1"/>
  <c r="AZ390" i="57" s="1"/>
  <c r="P391" i="57"/>
  <c r="Q391" i="57" s="1"/>
  <c r="AB391" i="57" s="1"/>
  <c r="AZ391" i="57" s="1"/>
  <c r="P393" i="57"/>
  <c r="Q393" i="57" s="1"/>
  <c r="AB393" i="57" s="1"/>
  <c r="AZ393" i="57" s="1"/>
  <c r="P396" i="57"/>
  <c r="Q396" i="57" s="1"/>
  <c r="AB396" i="57" s="1"/>
  <c r="AZ396" i="57" s="1"/>
  <c r="P395" i="57"/>
  <c r="Q395" i="57" s="1"/>
  <c r="AB395" i="57" s="1"/>
  <c r="AZ395" i="57" s="1"/>
  <c r="P392" i="57"/>
  <c r="Q392" i="57" s="1"/>
  <c r="AB392" i="57" s="1"/>
  <c r="AZ392" i="57" s="1"/>
  <c r="P388" i="57"/>
  <c r="Q388" i="57" s="1"/>
  <c r="AB388" i="57" s="1"/>
  <c r="AZ388" i="57" s="1"/>
  <c r="I394" i="56"/>
  <c r="J394" i="56" s="1"/>
  <c r="I393" i="56"/>
  <c r="J393" i="56" s="1"/>
  <c r="I392" i="56"/>
  <c r="J392" i="56" s="1"/>
  <c r="AD391" i="57" l="1"/>
  <c r="BU36" i="57" s="1"/>
  <c r="T29" i="59" s="1"/>
  <c r="AD396" i="57"/>
  <c r="BU41" i="57" s="1"/>
  <c r="T34" i="59" s="1"/>
  <c r="AD393" i="57"/>
  <c r="BU38" i="57" s="1"/>
  <c r="T31" i="59" s="1"/>
  <c r="AD390" i="57"/>
  <c r="BU35" i="57" s="1"/>
  <c r="T28" i="59" s="1"/>
  <c r="AD389" i="57"/>
  <c r="BU34" i="57" s="1"/>
  <c r="T27" i="59" s="1"/>
  <c r="AD388" i="57"/>
  <c r="BU33" i="57" s="1"/>
  <c r="T26" i="59" s="1"/>
  <c r="AD394" i="57"/>
  <c r="BU39" i="57" s="1"/>
  <c r="T32" i="59" s="1"/>
  <c r="AD392" i="57"/>
  <c r="BU37" i="57" s="1"/>
  <c r="T30" i="59" s="1"/>
  <c r="AB387" i="57"/>
  <c r="Q398" i="57"/>
  <c r="AD395" i="57"/>
  <c r="BU40" i="57" s="1"/>
  <c r="T33" i="59" s="1"/>
  <c r="AD397" i="57"/>
  <c r="BU42" i="57" s="1"/>
  <c r="T35" i="59" s="1"/>
  <c r="AD386" i="57"/>
  <c r="BU31" i="57" s="1"/>
  <c r="T24" i="59" s="1"/>
  <c r="M409" i="56"/>
  <c r="M403" i="56"/>
  <c r="M404" i="56"/>
  <c r="M402" i="56"/>
  <c r="M405" i="56"/>
  <c r="M407" i="56"/>
  <c r="M406" i="56"/>
  <c r="M410" i="56"/>
  <c r="M401" i="56"/>
  <c r="M400" i="56"/>
  <c r="M408" i="56"/>
  <c r="M411" i="56"/>
  <c r="Q409" i="56" l="1"/>
  <c r="O409" i="56"/>
  <c r="AK40" i="56" s="1"/>
  <c r="AB398" i="57"/>
  <c r="AD398" i="57" s="1"/>
  <c r="AZ387" i="57"/>
  <c r="AZ398" i="57" s="1"/>
  <c r="AD387" i="57"/>
  <c r="BU32" i="57" s="1"/>
  <c r="T25" i="59" s="1"/>
  <c r="O410" i="56"/>
  <c r="AK41" i="56" s="1"/>
  <c r="O406" i="56"/>
  <c r="AK37" i="56" s="1"/>
  <c r="O402" i="56"/>
  <c r="AK33" i="56" s="1"/>
  <c r="Q407" i="56"/>
  <c r="Q403" i="56"/>
  <c r="O405" i="56"/>
  <c r="AK36" i="56" s="1"/>
  <c r="Q404" i="56"/>
  <c r="O403" i="56"/>
  <c r="AK34" i="56" s="1"/>
  <c r="O404" i="56"/>
  <c r="AK35" i="56" s="1"/>
  <c r="Q402" i="56"/>
  <c r="Q405" i="56"/>
  <c r="Q410" i="56"/>
  <c r="O407" i="56"/>
  <c r="AK38" i="56" s="1"/>
  <c r="Q406" i="56"/>
  <c r="N404" i="56"/>
  <c r="N409" i="56"/>
  <c r="N410" i="56"/>
  <c r="N403" i="56"/>
  <c r="N407" i="56"/>
  <c r="O400" i="56"/>
  <c r="AK31" i="56" s="1"/>
  <c r="M413" i="56"/>
  <c r="N400" i="56"/>
  <c r="Q400" i="56"/>
  <c r="N406" i="56"/>
  <c r="Q401" i="56"/>
  <c r="N401" i="56"/>
  <c r="O401" i="56"/>
  <c r="AK32" i="56" s="1"/>
  <c r="Q411" i="56"/>
  <c r="N411" i="56"/>
  <c r="O411" i="56"/>
  <c r="AK42" i="56" s="1"/>
  <c r="Q408" i="56"/>
  <c r="N408" i="56"/>
  <c r="O408" i="56"/>
  <c r="AK39" i="56" s="1"/>
  <c r="N405" i="56"/>
  <c r="N402" i="56"/>
  <c r="Q413" i="56" l="1"/>
</calcChain>
</file>

<file path=xl/sharedStrings.xml><?xml version="1.0" encoding="utf-8"?>
<sst xmlns="http://schemas.openxmlformats.org/spreadsheetml/2006/main" count="3668" uniqueCount="231">
  <si>
    <t>Chicago State University</t>
  </si>
  <si>
    <t>Eastern Illinois University</t>
  </si>
  <si>
    <t>Governors State University</t>
  </si>
  <si>
    <t>Illinois State University</t>
  </si>
  <si>
    <t>Northeastern Illinois University</t>
  </si>
  <si>
    <t>Northern Illinois University</t>
  </si>
  <si>
    <t>Southern Illinois University Carbondale</t>
  </si>
  <si>
    <t>Southern Illinois University Edwardsville</t>
  </si>
  <si>
    <t>University of Illinois at Chicago</t>
  </si>
  <si>
    <t>University of Illinois at Springfield</t>
  </si>
  <si>
    <t>University of Illinois at Urbana / Champaign</t>
  </si>
  <si>
    <t>Western Illinois University</t>
  </si>
  <si>
    <t>Institution</t>
  </si>
  <si>
    <t>Adequacy Gap</t>
  </si>
  <si>
    <t>Illinois</t>
  </si>
  <si>
    <t>Adequacy Target</t>
  </si>
  <si>
    <t>Inflation</t>
  </si>
  <si>
    <t>Percent of Gap Unfunded</t>
  </si>
  <si>
    <t>Inflation and Adequacy in Equal Parts</t>
  </si>
  <si>
    <t>Allocates half of the increase according to an inflationary/ATB increase (capped at inflation), with the rest allocated based on schools' percent of adequacy.</t>
  </si>
  <si>
    <t>Inflationary Increase</t>
  </si>
  <si>
    <t>Inflation-Based Appropriation</t>
  </si>
  <si>
    <t>Adequacy Gap Share Increase</t>
  </si>
  <si>
    <t>Adequacy Gap-Based Appropriation</t>
  </si>
  <si>
    <t>Total Appropriation</t>
  </si>
  <si>
    <t>Percent Increase in State Approps</t>
  </si>
  <si>
    <t>Prior State Appropriation (FY23)</t>
  </si>
  <si>
    <t>New State Appropriation ($)</t>
  </si>
  <si>
    <t>State Appropriation Increase (%)</t>
  </si>
  <si>
    <t>Prior Year Appropriation</t>
  </si>
  <si>
    <t>Remaining State Increase</t>
  </si>
  <si>
    <t>State Increase ($)</t>
  </si>
  <si>
    <t>Next Year's State Approp</t>
  </si>
  <si>
    <t>Total Appropriation Increase</t>
  </si>
  <si>
    <t>Prior State Appropriation</t>
  </si>
  <si>
    <t>Y1</t>
  </si>
  <si>
    <t>Y2</t>
  </si>
  <si>
    <t>Y0</t>
  </si>
  <si>
    <t>Y3</t>
  </si>
  <si>
    <t>Y4</t>
  </si>
  <si>
    <t>Y5</t>
  </si>
  <si>
    <t>Y6</t>
  </si>
  <si>
    <t>Y7</t>
  </si>
  <si>
    <t>Y8</t>
  </si>
  <si>
    <t>Y9</t>
  </si>
  <si>
    <t>Y10</t>
  </si>
  <si>
    <t>Y11</t>
  </si>
  <si>
    <t>Y12</t>
  </si>
  <si>
    <t>Model Inflation</t>
  </si>
  <si>
    <t>Adequacy Gap Share Decrease</t>
  </si>
  <si>
    <t>Percent of Gap Funded</t>
  </si>
  <si>
    <t>Year</t>
  </si>
  <si>
    <t>Tier</t>
  </si>
  <si>
    <t>0-15</t>
  </si>
  <si>
    <t>Tier's Percent of Statewide Adequacy Gap</t>
  </si>
  <si>
    <t>Tier's Total Adequacy Gap</t>
  </si>
  <si>
    <t>State Appropriation Tier Allocation</t>
  </si>
  <si>
    <t>Percent of Total State Approp</t>
  </si>
  <si>
    <t>Appropriation Increase</t>
  </si>
  <si>
    <t>Minimum Increase</t>
  </si>
  <si>
    <t>Minimum Increase Appropriation</t>
  </si>
  <si>
    <t>Share of Adequacy Gap Within Tier</t>
  </si>
  <si>
    <t>Tier #</t>
  </si>
  <si>
    <t>ESS + Other Revenue</t>
  </si>
  <si>
    <t>Note:  Adequacy Targets and revenue from ESS and Other are inflated in this model</t>
  </si>
  <si>
    <t>You can change the State Approp Increase and Inflation rate to see the output</t>
  </si>
  <si>
    <t>Closure of Adequacy Gap Over Time</t>
  </si>
  <si>
    <t>Percent Approps Increase</t>
  </si>
  <si>
    <t>Tier Range (% Unfunded)</t>
  </si>
  <si>
    <t>16-46</t>
  </si>
  <si>
    <t>47+</t>
  </si>
  <si>
    <t>Share of Total $ Adequacy Gap</t>
  </si>
  <si>
    <t>Total Share Appropriation</t>
  </si>
  <si>
    <t>Guardrail + Adq % and $ share in equal parts</t>
  </si>
  <si>
    <t>Allocates half of the increase according to an inflationary/ATB increase (capped at inflation), with the rest split between an allocation based on schools' percent of adequacy gap unfunded and one based on schools' total $ adequacy gap</t>
  </si>
  <si>
    <t>Y13</t>
  </si>
  <si>
    <t>Y14</t>
  </si>
  <si>
    <t>Y15</t>
  </si>
  <si>
    <t>HEPI</t>
  </si>
  <si>
    <t>CPI</t>
  </si>
  <si>
    <t>Option 1</t>
  </si>
  <si>
    <t>Option 2</t>
  </si>
  <si>
    <t>Option 3</t>
  </si>
  <si>
    <t>-</t>
  </si>
  <si>
    <t>Range</t>
  </si>
  <si>
    <t>8% - 45%</t>
  </si>
  <si>
    <t>5% - 39%</t>
  </si>
  <si>
    <t>1% - 31%</t>
  </si>
  <si>
    <t>9%-46%</t>
  </si>
  <si>
    <t>9%-36%</t>
  </si>
  <si>
    <t>5%-27%</t>
  </si>
  <si>
    <t>8%-45%</t>
  </si>
  <si>
    <t>4%-38%</t>
  </si>
  <si>
    <t>2%-28%</t>
  </si>
  <si>
    <t>8%-48%</t>
  </si>
  <si>
    <t>7%-37%</t>
  </si>
  <si>
    <t>State</t>
  </si>
  <si>
    <t>10%-45%</t>
  </si>
  <si>
    <t>10%-35%</t>
  </si>
  <si>
    <t>6%-26%</t>
  </si>
  <si>
    <t>9%-44%</t>
  </si>
  <si>
    <t>4%-37%</t>
  </si>
  <si>
    <t>3%-29%</t>
  </si>
  <si>
    <t>5%-25%</t>
  </si>
  <si>
    <t>Year all are funded</t>
  </si>
  <si>
    <t>Guardrail Factor</t>
  </si>
  <si>
    <t>10%-44%</t>
  </si>
  <si>
    <t>5%-36%</t>
  </si>
  <si>
    <t>2%-29%</t>
  </si>
  <si>
    <t>Guardrail:</t>
  </si>
  <si>
    <t>The lower of inflation or half of the state appropriation</t>
  </si>
  <si>
    <t>Guardrail factor:</t>
  </si>
  <si>
    <t>Factor: 0.5</t>
  </si>
  <si>
    <t>Factor:  0.66</t>
  </si>
  <si>
    <t>Factor:  1</t>
  </si>
  <si>
    <t>5%-37%</t>
  </si>
  <si>
    <t>A weight that reduces the amount distributed through the guardrail (1 = guardrail as calculated; 0.5 = half of guardrail as calculated)</t>
  </si>
  <si>
    <t>Option 1 was getting so high for these factor levels that I just stopped calculating</t>
  </si>
  <si>
    <t>I used 6% for State Increase as a middle ground below the goal of 9-10% and more typical historical state increases</t>
  </si>
  <si>
    <t>I used 9% for State Increase here as the minimum increase needed to fund in 15 years.  Smaller increases don't get any school to full funding</t>
  </si>
  <si>
    <t>1st yr a school is funded</t>
  </si>
  <si>
    <t>Table 1: Percent of Allocation Sent Through Formula when State Approp &lt;2x of Inflation 
(including when less than inflation)</t>
  </si>
  <si>
    <t>Table 3: Smallest Institutional Increase when State Approp is +2% of Inflation</t>
  </si>
  <si>
    <t>Largest gap when 1st school funded</t>
  </si>
  <si>
    <t>Table 4: Smallest Institutional Increase when State Approp is -1% of Inflation</t>
  </si>
  <si>
    <t>Table 5: Measure of Variance - Sum of Absolute Value of Institution's Difference from Statewide Adequacy Gap</t>
  </si>
  <si>
    <t>Table 7: Progress Towards Full Funding</t>
  </si>
  <si>
    <t>When the state approp is &gt;2x inflation, these percentages all increase</t>
  </si>
  <si>
    <t>Table 6: Range in Institutions' Adequacy Gap %</t>
  </si>
  <si>
    <t>Pell Undergrad</t>
  </si>
  <si>
    <t>Share of Pell Share</t>
  </si>
  <si>
    <t>Appropriation</t>
  </si>
  <si>
    <t>Approp Increase</t>
  </si>
  <si>
    <t>Guardrail Increase</t>
  </si>
  <si>
    <t>Share of Gap %</t>
  </si>
  <si>
    <t>Share of Gap $</t>
  </si>
  <si>
    <t>Approp Increase (%)</t>
  </si>
  <si>
    <t>% Gap Allocation</t>
  </si>
  <si>
    <t>Pell Only Allocation</t>
  </si>
  <si>
    <t>Adequacy Gap % and $ Allocation</t>
  </si>
  <si>
    <t>Adequacy Gap % and $ Allocation w/ Guardrail</t>
  </si>
  <si>
    <t>Guardrail</t>
  </si>
  <si>
    <t>Guardrail Allocation</t>
  </si>
  <si>
    <t>$ Gap Allocation</t>
  </si>
  <si>
    <t>Share of Increase/Cut</t>
  </si>
  <si>
    <t>Dollar per Student Cut</t>
  </si>
  <si>
    <t>Percent Change in State Approps</t>
  </si>
  <si>
    <t>Total $  Share Appropriation</t>
  </si>
  <si>
    <t>50% Adequacy Gap Share Allocation</t>
  </si>
  <si>
    <t>Cut Per Student</t>
  </si>
  <si>
    <t>% Gap Share Increase</t>
  </si>
  <si>
    <t>% of Gap Unfunded</t>
  </si>
  <si>
    <t>$ Gap Share Increase</t>
  </si>
  <si>
    <t>Total Allocation</t>
  </si>
  <si>
    <t>Factor: 50%</t>
  </si>
  <si>
    <t>Factor: 67%</t>
  </si>
  <si>
    <t>Factor:  100%</t>
  </si>
  <si>
    <t>Factor: 100%</t>
  </si>
  <si>
    <t>Table 7</t>
  </si>
  <si>
    <t>Table 2</t>
  </si>
  <si>
    <t>Year 5</t>
  </si>
  <si>
    <t>Year 10</t>
  </si>
  <si>
    <t>Year 15</t>
  </si>
  <si>
    <t>Minimum State Increase to Fully Fund Adequacy by Year 15</t>
  </si>
  <si>
    <t>% Increase</t>
  </si>
  <si>
    <t>$ Increase</t>
  </si>
  <si>
    <t>% Change in State Approps</t>
  </si>
  <si>
    <t>Share of $ Cut</t>
  </si>
  <si>
    <t>ATB Cut Per Student</t>
  </si>
  <si>
    <t>Factor:  50%</t>
  </si>
  <si>
    <t>$87.95 million</t>
  </si>
  <si>
    <t>$102.80 million</t>
  </si>
  <si>
    <t>$115.37 million</t>
  </si>
  <si>
    <t>$124.50 million</t>
  </si>
  <si>
    <t>$135.93 million</t>
  </si>
  <si>
    <t>$76.5
(6.7%)</t>
  </si>
  <si>
    <t>$58.8
(5.2%)</t>
  </si>
  <si>
    <t>$38.8
(3.4%)</t>
  </si>
  <si>
    <t>$115.4 
(10.1%)</t>
  </si>
  <si>
    <t>$88.0 
(7.7%)</t>
  </si>
  <si>
    <t>$58.3
(5.1%)</t>
  </si>
  <si>
    <t>$153.4 
(13.5%)</t>
  </si>
  <si>
    <t>$117.7 
(10.3%)</t>
  </si>
  <si>
    <t>$77.7 
(6.8%)</t>
  </si>
  <si>
    <t>$191.9
 (16.8%)</t>
  </si>
  <si>
    <t>$147.3 
(12.9%)</t>
  </si>
  <si>
    <t>$97.1 
(8.5%)</t>
  </si>
  <si>
    <t>$230.7 
(20.2%)</t>
  </si>
  <si>
    <t>$176.5 
(15.5%)</t>
  </si>
  <si>
    <t>$116.5 
(10.2%)</t>
  </si>
  <si>
    <t>Approp Per Student</t>
  </si>
  <si>
    <t>Across the Board Cut</t>
  </si>
  <si>
    <t>Enrollment</t>
  </si>
  <si>
    <t>Adequacy Gap Ratio Allocation</t>
  </si>
  <si>
    <t>Ratio Cut</t>
  </si>
  <si>
    <t>Scaled Ratio Cut</t>
  </si>
  <si>
    <t>Share of Cut/Increase</t>
  </si>
  <si>
    <t>Alternative Cut Approaches</t>
  </si>
  <si>
    <t>Share of Adequacy Gap %</t>
  </si>
  <si>
    <t>50% ATB</t>
  </si>
  <si>
    <t>Guardrail Cut</t>
  </si>
  <si>
    <t>Guardrail-Based Appropriation</t>
  </si>
  <si>
    <t>Table 2: State Increase for All Schools to Receive an Increase Above Inflation ($)</t>
  </si>
  <si>
    <t>Table 2: State Increase for All Schools to Receive an Increase Above Inflation (%)</t>
  </si>
  <si>
    <t>Table 2: Minimum State Increase for All Schools 
to Receive an Increase Above Inflation ($m)</t>
  </si>
  <si>
    <t>These figures haven't been updated using the newest adequacy gap info</t>
  </si>
  <si>
    <t>This is a purely across the board cut.</t>
  </si>
  <si>
    <t>This cuts every school by a constant amount per student.</t>
  </si>
  <si>
    <t>This is the same as the previous option, but with half of the statewide cut is applied using an across-the-board</t>
  </si>
  <si>
    <t>This option is based entirely on the percent fully funded an institution is (Column G).  Larger share of the cuts to schools that are closer to fully funded.</t>
  </si>
  <si>
    <t>First applies an across-the-board cut using the guardrail.  Next, a school gets cut more or less than the statewide cut based on a ratio of its adequacy gap % to the state's total adequacy gap %.  Column U creates each state's percent cut based on that ratio, Column V applies that % cut to the school's prior appropriation, and column W adjusts Column U to fit within the actual state appropriation cut left over after the guardrail.</t>
  </si>
  <si>
    <t>Percent State Approps Increase</t>
  </si>
  <si>
    <t>State Approp Increase:  9%     Guardrail Factor:  67%</t>
  </si>
  <si>
    <t>State Approp Increase:  9%     Guardrail Factor:  100%</t>
  </si>
  <si>
    <t>State Approp Increase:  5%     Guardrail Factor:  100%</t>
  </si>
  <si>
    <t>State Approp Increase:  2%     Guardrail Factor:  100%</t>
  </si>
  <si>
    <t>State Approp Increase:  9%     Guardrail Factor:  75%</t>
  </si>
  <si>
    <t>State Approp Increase:  5%     Guardrail Factor:  75%</t>
  </si>
  <si>
    <t>State Approp Increase:  2%     Guardrail Factor:  75%</t>
  </si>
  <si>
    <t>State Approp Increase:  2%     Guardrail Factor:  67%</t>
  </si>
  <si>
    <t>State Approp Increase:  5%     Guardrail Factor:  67%</t>
  </si>
  <si>
    <t>State Approp Increase:  9%     Guardrail Factor:  50%</t>
  </si>
  <si>
    <t>State Approp Increase:  5%     Guardrail Factor:  50%</t>
  </si>
  <si>
    <t>State Approp Increase:  2%     Guardrail Factor:  50%</t>
  </si>
  <si>
    <t>State Approp Increase:  12%     Guardrail Factor:  50%</t>
  </si>
  <si>
    <t>State Approp Increase:  12%     Guardrail Factor:  67%</t>
  </si>
  <si>
    <t>State Approp Increase:  12%     Guardrail Factor:  75%</t>
  </si>
  <si>
    <t>State Approp Increase:  12%     Guardrail Factor:  100%</t>
  </si>
  <si>
    <t>You can Adjust the State Approp Increase, Guardrail Factor, and Inflation on the "Model" tab in the yellow highlighted cells and this workbook will update.</t>
  </si>
  <si>
    <t>From top to bottom, the State Approp Increase goes down.</t>
  </si>
  <si>
    <t>From left to right, the Guardrail factor goes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</si>
</sst>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%"/>
    <numFmt numFmtId="169" formatCode="0.000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6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8"/>
      <color rgb="FF000000"/>
      <name val="Calibri"/>
      <family val="2"/>
      <scheme val="minor"/>
    </font>
    <font>
      <b/>
      <sz val="16"/>
      <color theme="0"/>
      <name val="Calibri (Body)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CB279"/>
        <bgColor rgb="FF000000"/>
      </patternFill>
    </fill>
    <fill>
      <patternFill patternType="solid">
        <fgColor rgb="FFFDC17C"/>
        <bgColor rgb="FF000000"/>
      </patternFill>
    </fill>
    <fill>
      <patternFill patternType="solid">
        <fgColor rgb="FFFED07F"/>
        <bgColor rgb="FF000000"/>
      </patternFill>
    </fill>
    <fill>
      <patternFill patternType="solid">
        <fgColor rgb="FFFFDF82"/>
        <bgColor rgb="FF000000"/>
      </patternFill>
    </fill>
    <fill>
      <patternFill patternType="solid">
        <fgColor rgb="FFFDEA83"/>
        <bgColor rgb="FF000000"/>
      </patternFill>
    </fill>
    <fill>
      <patternFill patternType="solid">
        <fgColor rgb="FFC0D880"/>
        <bgColor rgb="FF000000"/>
      </patternFill>
    </fill>
    <fill>
      <patternFill patternType="solid">
        <fgColor rgb="FF90CB7D"/>
        <bgColor rgb="FF000000"/>
      </patternFill>
    </fill>
    <fill>
      <patternFill patternType="solid">
        <fgColor rgb="FF72C27B"/>
        <bgColor rgb="FF000000"/>
      </patternFill>
    </fill>
    <fill>
      <patternFill patternType="solid">
        <fgColor rgb="FF66BE7B"/>
        <bgColor rgb="FF000000"/>
      </patternFill>
    </fill>
    <fill>
      <patternFill patternType="solid">
        <fgColor rgb="FF63BE7B"/>
        <bgColor rgb="FF000000"/>
      </patternFill>
    </fill>
    <fill>
      <patternFill patternType="solid">
        <fgColor rgb="FFFEEA83"/>
        <bgColor rgb="FF000000"/>
      </patternFill>
    </fill>
    <fill>
      <patternFill patternType="solid">
        <fgColor rgb="FFC1D980"/>
        <bgColor rgb="FF000000"/>
      </patternFill>
    </fill>
    <fill>
      <patternFill patternType="solid">
        <fgColor rgb="FF92CB7D"/>
        <bgColor rgb="FF000000"/>
      </patternFill>
    </fill>
    <fill>
      <patternFill patternType="solid">
        <fgColor rgb="FF74C27B"/>
        <bgColor rgb="FF000000"/>
      </patternFill>
    </fill>
    <fill>
      <patternFill patternType="solid">
        <fgColor rgb="FF67BF7B"/>
        <bgColor rgb="FF000000"/>
      </patternFill>
    </fill>
    <fill>
      <patternFill patternType="solid">
        <fgColor rgb="FFFCAB78"/>
        <bgColor rgb="FF000000"/>
      </patternFill>
    </fill>
    <fill>
      <patternFill patternType="solid">
        <fgColor rgb="FFFDB97B"/>
        <bgColor rgb="FF000000"/>
      </patternFill>
    </fill>
    <fill>
      <patternFill patternType="solid">
        <fgColor rgb="FFFEC77D"/>
        <bgColor rgb="FF000000"/>
      </patternFill>
    </fill>
    <fill>
      <patternFill patternType="solid">
        <fgColor rgb="FFFED480"/>
        <bgColor rgb="FF000000"/>
      </patternFill>
    </fill>
    <fill>
      <patternFill patternType="solid">
        <fgColor rgb="FFFFE984"/>
        <bgColor rgb="FF000000"/>
      </patternFill>
    </fill>
    <fill>
      <patternFill patternType="solid">
        <fgColor rgb="FFC3D980"/>
        <bgColor rgb="FF000000"/>
      </patternFill>
    </fill>
    <fill>
      <patternFill patternType="solid">
        <fgColor rgb="FF8AC97D"/>
        <bgColor rgb="FF000000"/>
      </patternFill>
    </fill>
    <fill>
      <patternFill patternType="solid">
        <fgColor rgb="FF69BF7B"/>
        <bgColor rgb="FF000000"/>
      </patternFill>
    </fill>
    <fill>
      <patternFill patternType="solid">
        <fgColor rgb="FF70C17B"/>
        <bgColor rgb="FF000000"/>
      </patternFill>
    </fill>
    <fill>
      <patternFill patternType="solid">
        <fgColor rgb="FFFBA076"/>
        <bgColor rgb="FF000000"/>
      </patternFill>
    </fill>
    <fill>
      <patternFill patternType="solid">
        <fgColor rgb="FFFDB67A"/>
        <bgColor rgb="FF000000"/>
      </patternFill>
    </fill>
    <fill>
      <patternFill patternType="solid">
        <fgColor rgb="FFFDC37D"/>
        <bgColor rgb="FF000000"/>
      </patternFill>
    </fill>
    <fill>
      <patternFill patternType="solid">
        <fgColor rgb="FFFFDD82"/>
        <bgColor rgb="FF000000"/>
      </patternFill>
    </fill>
    <fill>
      <patternFill patternType="solid">
        <fgColor rgb="FFFFEA84"/>
        <bgColor rgb="FF000000"/>
      </patternFill>
    </fill>
    <fill>
      <patternFill patternType="solid">
        <fgColor rgb="FFBFD880"/>
        <bgColor rgb="FF000000"/>
      </patternFill>
    </fill>
    <fill>
      <patternFill patternType="solid">
        <fgColor rgb="FF82C77C"/>
        <bgColor rgb="FF000000"/>
      </patternFill>
    </fill>
    <fill>
      <patternFill patternType="solid">
        <fgColor rgb="FF65BE7B"/>
        <bgColor rgb="FF000000"/>
      </patternFill>
    </fill>
    <fill>
      <patternFill patternType="solid">
        <fgColor rgb="FFFDB77A"/>
        <bgColor rgb="FF000000"/>
      </patternFill>
    </fill>
    <fill>
      <patternFill patternType="solid">
        <fgColor rgb="FFFFEB84"/>
        <bgColor rgb="FF000000"/>
      </patternFill>
    </fill>
    <fill>
      <patternFill patternType="solid">
        <fgColor rgb="FFBED880"/>
        <bgColor rgb="FF000000"/>
      </patternFill>
    </fill>
    <fill>
      <patternFill patternType="solid">
        <fgColor rgb="FF68BF7B"/>
        <bgColor rgb="FF000000"/>
      </patternFill>
    </fill>
    <fill>
      <patternFill patternType="solid">
        <fgColor rgb="FFFB9B75"/>
        <bgColor rgb="FF000000"/>
      </patternFill>
    </fill>
    <fill>
      <patternFill patternType="solid">
        <fgColor rgb="FFFCA577"/>
        <bgColor rgb="FF000000"/>
      </patternFill>
    </fill>
    <fill>
      <patternFill patternType="solid">
        <fgColor rgb="FFFCB079"/>
        <bgColor rgb="FF000000"/>
      </patternFill>
    </fill>
    <fill>
      <patternFill patternType="solid">
        <fgColor rgb="FFFDBB7B"/>
        <bgColor rgb="FF000000"/>
      </patternFill>
    </fill>
    <fill>
      <patternFill patternType="solid">
        <fgColor rgb="FFFED380"/>
        <bgColor rgb="FF000000"/>
      </patternFill>
    </fill>
    <fill>
      <patternFill patternType="solid">
        <fgColor rgb="FFA0CF7E"/>
        <bgColor rgb="FF000000"/>
      </patternFill>
    </fill>
    <fill>
      <patternFill patternType="solid">
        <fgColor rgb="FF7AC47C"/>
        <bgColor rgb="FF000000"/>
      </patternFill>
    </fill>
    <fill>
      <patternFill patternType="solid">
        <fgColor rgb="FFF9776E"/>
        <bgColor rgb="FF000000"/>
      </patternFill>
    </fill>
    <fill>
      <patternFill patternType="solid">
        <fgColor rgb="FFFA8B72"/>
        <bgColor rgb="FF000000"/>
      </patternFill>
    </fill>
    <fill>
      <patternFill patternType="solid">
        <fgColor rgb="FFFDB57A"/>
        <bgColor rgb="FF000000"/>
      </patternFill>
    </fill>
    <fill>
      <patternFill patternType="solid">
        <fgColor rgb="FFFEC97E"/>
        <bgColor rgb="FF000000"/>
      </patternFill>
    </fill>
    <fill>
      <patternFill patternType="solid">
        <fgColor rgb="FFEEE683"/>
        <bgColor rgb="FF000000"/>
      </patternFill>
    </fill>
    <fill>
      <patternFill patternType="solid">
        <fgColor rgb="FF9FCF7E"/>
        <bgColor rgb="FF000000"/>
      </patternFill>
    </fill>
    <fill>
      <patternFill patternType="solid">
        <fgColor rgb="FF6CC07B"/>
        <bgColor rgb="FF000000"/>
      </patternFill>
    </fill>
    <fill>
      <patternFill patternType="solid">
        <fgColor rgb="FF6AC07B"/>
        <bgColor rgb="FF000000"/>
      </patternFill>
    </fill>
    <fill>
      <patternFill patternType="solid">
        <fgColor rgb="FFFECA7E"/>
        <bgColor rgb="FF000000"/>
      </patternFill>
    </fill>
    <fill>
      <patternFill patternType="solid">
        <fgColor rgb="FFECE582"/>
        <bgColor rgb="FF000000"/>
      </patternFill>
    </fill>
    <fill>
      <patternFill patternType="solid">
        <fgColor rgb="FF9ECF7E"/>
        <bgColor rgb="FF000000"/>
      </patternFill>
    </fill>
    <fill>
      <patternFill patternType="solid">
        <fgColor rgb="FF6DC17B"/>
        <bgColor rgb="FF000000"/>
      </patternFill>
    </fill>
    <fill>
      <patternFill patternType="solid">
        <fgColor rgb="FF64BE7B"/>
        <bgColor rgb="FF000000"/>
      </patternFill>
    </fill>
    <fill>
      <patternFill patternType="solid">
        <fgColor rgb="FFF9766E"/>
        <bgColor rgb="FF000000"/>
      </patternFill>
    </fill>
    <fill>
      <patternFill patternType="solid">
        <fgColor rgb="FFFA8972"/>
        <bgColor rgb="FF000000"/>
      </patternFill>
    </fill>
    <fill>
      <patternFill patternType="solid">
        <fgColor rgb="FFFB9C75"/>
        <bgColor rgb="FF000000"/>
      </patternFill>
    </fill>
    <fill>
      <patternFill patternType="solid">
        <fgColor rgb="FFFDC27D"/>
        <bgColor rgb="FF000000"/>
      </patternFill>
    </fill>
    <fill>
      <patternFill patternType="solid">
        <fgColor rgb="FFFFE383"/>
        <bgColor rgb="FF000000"/>
      </patternFill>
    </fill>
    <fill>
      <patternFill patternType="solid">
        <fgColor rgb="FFD2DE81"/>
        <bgColor rgb="FF000000"/>
      </patternFill>
    </fill>
    <fill>
      <patternFill patternType="solid">
        <fgColor rgb="FF7BC47C"/>
        <bgColor rgb="FF000000"/>
      </patternFill>
    </fill>
    <fill>
      <patternFill patternType="solid">
        <fgColor rgb="FFFB9474"/>
        <bgColor rgb="FF000000"/>
      </patternFill>
    </fill>
    <fill>
      <patternFill patternType="solid">
        <fgColor rgb="FFFCA376"/>
        <bgColor rgb="FF000000"/>
      </patternFill>
    </fill>
    <fill>
      <patternFill patternType="solid">
        <fgColor rgb="FFFDC07C"/>
        <bgColor rgb="FF000000"/>
      </patternFill>
    </fill>
    <fill>
      <patternFill patternType="solid">
        <fgColor rgb="FFFECC7F"/>
        <bgColor rgb="FF000000"/>
      </patternFill>
    </fill>
    <fill>
      <patternFill patternType="solid">
        <fgColor rgb="FFFFDB81"/>
        <bgColor rgb="FF000000"/>
      </patternFill>
    </fill>
    <fill>
      <patternFill patternType="solid">
        <fgColor rgb="FF9ACE7E"/>
        <bgColor rgb="FF000000"/>
      </patternFill>
    </fill>
    <fill>
      <patternFill patternType="solid">
        <fgColor rgb="FFFECD7F"/>
        <bgColor rgb="FF000000"/>
      </patternFill>
    </fill>
    <fill>
      <patternFill patternType="solid">
        <fgColor rgb="FF99CD7E"/>
        <bgColor rgb="FF000000"/>
      </patternFill>
    </fill>
    <fill>
      <patternFill patternType="solid">
        <fgColor rgb="FFFB8F73"/>
        <bgColor rgb="FF000000"/>
      </patternFill>
    </fill>
    <fill>
      <patternFill patternType="solid">
        <fgColor rgb="FFFB9674"/>
        <bgColor rgb="FF000000"/>
      </patternFill>
    </fill>
    <fill>
      <patternFill patternType="solid">
        <fgColor rgb="FFFB9D75"/>
        <bgColor rgb="FF000000"/>
      </patternFill>
    </fill>
    <fill>
      <patternFill patternType="solid">
        <fgColor rgb="FFFCAF79"/>
        <bgColor rgb="FF000000"/>
      </patternFill>
    </fill>
    <fill>
      <patternFill patternType="solid">
        <fgColor rgb="FFFDC47D"/>
        <bgColor rgb="FF000000"/>
      </patternFill>
    </fill>
    <fill>
      <patternFill patternType="solid">
        <fgColor rgb="FFFED17F"/>
        <bgColor rgb="FF000000"/>
      </patternFill>
    </fill>
    <fill>
      <patternFill patternType="solid">
        <fgColor rgb="FFFFE082"/>
        <bgColor rgb="FF000000"/>
      </patternFill>
    </fill>
    <fill>
      <patternFill patternType="solid">
        <fgColor rgb="FFC5DA80"/>
        <bgColor rgb="FF000000"/>
      </patternFill>
    </fill>
    <fill>
      <patternFill patternType="solid">
        <fgColor rgb="FFF8696B"/>
        <bgColor rgb="FF000000"/>
      </patternFill>
    </fill>
    <fill>
      <patternFill patternType="solid">
        <fgColor rgb="FFF97A6F"/>
        <bgColor rgb="FF000000"/>
      </patternFill>
    </fill>
    <fill>
      <patternFill patternType="solid">
        <fgColor rgb="FFFA8C72"/>
        <bgColor rgb="FF000000"/>
      </patternFill>
    </fill>
    <fill>
      <patternFill patternType="solid">
        <fgColor rgb="FFFB9F76"/>
        <bgColor rgb="FF000000"/>
      </patternFill>
    </fill>
    <fill>
      <patternFill patternType="solid">
        <fgColor rgb="FFFDC67D"/>
        <bgColor rgb="FF000000"/>
      </patternFill>
    </fill>
    <fill>
      <patternFill patternType="solid">
        <fgColor rgb="FFEFE683"/>
        <bgColor rgb="FF000000"/>
      </patternFill>
    </fill>
    <fill>
      <patternFill patternType="solid">
        <fgColor rgb="FF93CB7D"/>
        <bgColor rgb="FF000000"/>
      </patternFill>
    </fill>
    <fill>
      <patternFill patternType="solid">
        <fgColor rgb="FFFCB37A"/>
        <bgColor rgb="FF000000"/>
      </patternFill>
    </fill>
    <fill>
      <patternFill patternType="solid">
        <fgColor rgb="FFFEC77E"/>
        <bgColor rgb="FF000000"/>
      </patternFill>
    </fill>
    <fill>
      <patternFill patternType="solid">
        <fgColor rgb="FFEDE582"/>
        <bgColor rgb="FF000000"/>
      </patternFill>
    </fill>
    <fill>
      <patternFill patternType="solid">
        <fgColor rgb="FFF9796F"/>
        <bgColor rgb="FF000000"/>
      </patternFill>
    </fill>
    <fill>
      <patternFill patternType="solid">
        <fgColor rgb="FFFA8A72"/>
        <bgColor rgb="FF000000"/>
      </patternFill>
    </fill>
    <fill>
      <patternFill patternType="solid">
        <fgColor rgb="FFFCAD79"/>
        <bgColor rgb="FF000000"/>
      </patternFill>
    </fill>
    <fill>
      <patternFill patternType="solid">
        <fgColor rgb="FFFED280"/>
        <bgColor rgb="FF000000"/>
      </patternFill>
    </fill>
    <fill>
      <patternFill patternType="solid">
        <fgColor rgb="FFBBD780"/>
        <bgColor rgb="FF000000"/>
      </patternFill>
    </fill>
    <fill>
      <patternFill patternType="solid">
        <fgColor rgb="FF7DC57C"/>
        <bgColor rgb="FF000000"/>
      </patternFill>
    </fill>
    <fill>
      <patternFill patternType="solid">
        <fgColor rgb="FFFB9273"/>
        <bgColor rgb="FF000000"/>
      </patternFill>
    </fill>
    <fill>
      <patternFill patternType="solid">
        <fgColor rgb="FFFB9A75"/>
        <bgColor rgb="FF000000"/>
      </patternFill>
    </fill>
    <fill>
      <patternFill patternType="solid">
        <fgColor rgb="FFFCA276"/>
        <bgColor rgb="FF000000"/>
      </patternFill>
    </fill>
    <fill>
      <patternFill patternType="solid">
        <fgColor rgb="FFFECE7F"/>
        <bgColor rgb="FF000000"/>
      </patternFill>
    </fill>
    <fill>
      <patternFill patternType="solid">
        <fgColor rgb="FFF2E783"/>
        <bgColor rgb="FF000000"/>
      </patternFill>
    </fill>
    <fill>
      <patternFill patternType="solid">
        <fgColor rgb="FF8DCA7D"/>
        <bgColor rgb="FF000000"/>
      </patternFill>
    </fill>
    <fill>
      <patternFill patternType="solid">
        <fgColor rgb="FFFDC27C"/>
        <bgColor rgb="FF000000"/>
      </patternFill>
    </fill>
    <fill>
      <patternFill patternType="solid">
        <fgColor rgb="FFFECF7F"/>
        <bgColor rgb="FF000000"/>
      </patternFill>
    </fill>
    <fill>
      <patternFill patternType="solid">
        <fgColor rgb="FFF1E783"/>
        <bgColor rgb="FF000000"/>
      </patternFill>
    </fill>
    <fill>
      <patternFill patternType="solid">
        <fgColor rgb="FF8CCA7D"/>
        <bgColor rgb="FF000000"/>
      </patternFill>
    </fill>
    <fill>
      <patternFill patternType="solid">
        <fgColor rgb="FFFA8E73"/>
        <bgColor rgb="FF000000"/>
      </patternFill>
    </fill>
    <fill>
      <patternFill patternType="solid">
        <fgColor rgb="FFFB9574"/>
        <bgColor rgb="FF000000"/>
      </patternFill>
    </fill>
    <fill>
      <patternFill patternType="solid">
        <fgColor rgb="FFFDBA7B"/>
        <bgColor rgb="FF000000"/>
      </patternFill>
    </fill>
    <fill>
      <patternFill patternType="solid">
        <fgColor rgb="FFFDC57D"/>
        <bgColor rgb="FF000000"/>
      </patternFill>
    </fill>
    <fill>
      <patternFill patternType="solid">
        <fgColor rgb="FFFFE283"/>
        <bgColor rgb="FF000000"/>
      </patternFill>
    </fill>
    <fill>
      <patternFill patternType="solid">
        <fgColor rgb="FFAFD47F"/>
        <bgColor rgb="FF000000"/>
      </patternFill>
    </fill>
    <fill>
      <patternFill patternType="solid">
        <fgColor rgb="FFE8E482"/>
        <bgColor rgb="FF000000"/>
      </patternFill>
    </fill>
    <fill>
      <patternFill patternType="solid">
        <fgColor rgb="FFE2E282"/>
        <bgColor rgb="FF000000"/>
      </patternFill>
    </fill>
    <fill>
      <patternFill patternType="solid">
        <fgColor rgb="FFDBE081"/>
        <bgColor rgb="FF000000"/>
      </patternFill>
    </fill>
    <fill>
      <patternFill patternType="solid">
        <fgColor rgb="FFC7DB80"/>
        <bgColor rgb="FF000000"/>
      </patternFill>
    </fill>
    <fill>
      <patternFill patternType="solid">
        <fgColor rgb="FFABD37F"/>
        <bgColor rgb="FF000000"/>
      </patternFill>
    </fill>
    <fill>
      <patternFill patternType="solid">
        <fgColor rgb="FF84C77C"/>
        <bgColor rgb="FF000000"/>
      </patternFill>
    </fill>
    <fill>
      <patternFill patternType="solid">
        <fgColor rgb="FF6BC07B"/>
        <bgColor rgb="FF000000"/>
      </patternFill>
    </fill>
    <fill>
      <patternFill patternType="solid">
        <fgColor rgb="FFE9E482"/>
        <bgColor rgb="FF000000"/>
      </patternFill>
    </fill>
    <fill>
      <patternFill patternType="solid">
        <fgColor rgb="FFE5E382"/>
        <bgColor rgb="FF000000"/>
      </patternFill>
    </fill>
    <fill>
      <patternFill patternType="solid">
        <fgColor rgb="FFDEE182"/>
        <bgColor rgb="FF000000"/>
      </patternFill>
    </fill>
    <fill>
      <patternFill patternType="solid">
        <fgColor rgb="FFD6DF81"/>
        <bgColor rgb="FF000000"/>
      </patternFill>
    </fill>
    <fill>
      <patternFill patternType="solid">
        <fgColor rgb="FFCCDC81"/>
        <bgColor rgb="FF000000"/>
      </patternFill>
    </fill>
    <fill>
      <patternFill patternType="solid">
        <fgColor rgb="FFB0D47F"/>
        <bgColor rgb="FF000000"/>
      </patternFill>
    </fill>
    <fill>
      <patternFill patternType="solid">
        <fgColor rgb="FF87C87D"/>
        <bgColor rgb="FF000000"/>
      </patternFill>
    </fill>
    <fill>
      <patternFill patternType="solid">
        <fgColor rgb="FFFFE483"/>
        <bgColor rgb="FF000000"/>
      </patternFill>
    </fill>
    <fill>
      <patternFill patternType="solid">
        <fgColor rgb="FFFFE683"/>
        <bgColor rgb="FF000000"/>
      </patternFill>
    </fill>
    <fill>
      <patternFill patternType="solid">
        <fgColor rgb="FFFFE884"/>
        <bgColor rgb="FF000000"/>
      </patternFill>
    </fill>
    <fill>
      <patternFill patternType="solid">
        <fgColor rgb="FFE3E382"/>
        <bgColor rgb="FF000000"/>
      </patternFill>
    </fill>
    <fill>
      <patternFill patternType="solid">
        <fgColor rgb="FFB3D57F"/>
        <bgColor rgb="FF000000"/>
      </patternFill>
    </fill>
    <fill>
      <patternFill patternType="solid">
        <fgColor rgb="FF79C47C"/>
        <bgColor rgb="FF000000"/>
      </patternFill>
    </fill>
    <fill>
      <patternFill patternType="solid">
        <fgColor rgb="FF77C37C"/>
        <bgColor rgb="FF000000"/>
      </patternFill>
    </fill>
    <fill>
      <patternFill patternType="solid">
        <fgColor rgb="FFFCA377"/>
        <bgColor rgb="FF000000"/>
      </patternFill>
    </fill>
    <fill>
      <patternFill patternType="solid">
        <fgColor rgb="FFFCB27A"/>
        <bgColor rgb="FF000000"/>
      </patternFill>
    </fill>
    <fill>
      <patternFill patternType="solid">
        <fgColor rgb="FFC6DA80"/>
        <bgColor rgb="FF000000"/>
      </patternFill>
    </fill>
    <fill>
      <patternFill patternType="solid">
        <fgColor rgb="FF77C47C"/>
        <bgColor rgb="FF000000"/>
      </patternFill>
    </fill>
    <fill>
      <patternFill patternType="solid">
        <fgColor rgb="FFFCAA78"/>
        <bgColor rgb="FF000000"/>
      </patternFill>
    </fill>
    <fill>
      <patternFill patternType="solid">
        <fgColor rgb="FFFB9E76"/>
        <bgColor rgb="FF000000"/>
      </patternFill>
    </fill>
    <fill>
      <patternFill patternType="solid">
        <fgColor rgb="FFFCA477"/>
        <bgColor rgb="FF000000"/>
      </patternFill>
    </fill>
    <fill>
      <patternFill patternType="solid">
        <fgColor rgb="FFFCAC78"/>
        <bgColor rgb="FF000000"/>
      </patternFill>
    </fill>
    <fill>
      <patternFill patternType="solid">
        <fgColor rgb="FFFCB47A"/>
        <bgColor rgb="FF000000"/>
      </patternFill>
    </fill>
    <fill>
      <patternFill patternType="solid">
        <fgColor rgb="FFFDBC7B"/>
        <bgColor rgb="FF000000"/>
      </patternFill>
    </fill>
    <fill>
      <patternFill patternType="solid">
        <fgColor rgb="FFFFDC82"/>
        <bgColor rgb="FF000000"/>
      </patternFill>
    </fill>
    <fill>
      <patternFill patternType="solid">
        <fgColor rgb="FF88C87D"/>
        <bgColor rgb="FF000000"/>
      </patternFill>
    </fill>
    <fill>
      <patternFill patternType="solid">
        <fgColor rgb="FF66BF7B"/>
        <bgColor rgb="FF000000"/>
      </patternFill>
    </fill>
    <fill>
      <patternFill patternType="solid">
        <fgColor rgb="FFFCA677"/>
        <bgColor rgb="FF000000"/>
      </patternFill>
    </fill>
    <fill>
      <patternFill patternType="solid">
        <fgColor rgb="FFFED781"/>
        <bgColor rgb="FF000000"/>
      </patternFill>
    </fill>
    <fill>
      <patternFill patternType="solid">
        <fgColor rgb="FFC9DB80"/>
        <bgColor rgb="FF000000"/>
      </patternFill>
    </fill>
    <fill>
      <patternFill patternType="solid">
        <fgColor rgb="FFFECC7E"/>
        <bgColor rgb="FF000000"/>
      </patternFill>
    </fill>
    <fill>
      <patternFill patternType="solid">
        <fgColor rgb="FFFCA878"/>
        <bgColor rgb="FF000000"/>
      </patternFill>
    </fill>
    <fill>
      <patternFill patternType="solid">
        <fgColor rgb="FFFED881"/>
        <bgColor rgb="FF000000"/>
      </patternFill>
    </fill>
    <fill>
      <patternFill patternType="solid">
        <fgColor rgb="FFFDBE7C"/>
        <bgColor rgb="FF000000"/>
      </patternFill>
    </fill>
    <fill>
      <patternFill patternType="solid">
        <fgColor rgb="FFFED580"/>
        <bgColor rgb="FF000000"/>
      </patternFill>
    </fill>
    <fill>
      <patternFill patternType="solid">
        <fgColor rgb="FF6EC17B"/>
        <bgColor rgb="FF000000"/>
      </patternFill>
    </fill>
    <fill>
      <patternFill patternType="solid">
        <fgColor rgb="FFF6E883"/>
        <bgColor rgb="FF000000"/>
      </patternFill>
    </fill>
    <fill>
      <patternFill patternType="solid">
        <fgColor rgb="FFE6E382"/>
        <bgColor rgb="FF000000"/>
      </patternFill>
    </fill>
    <fill>
      <patternFill patternType="solid">
        <fgColor rgb="FFD4DE81"/>
        <bgColor rgb="FF000000"/>
      </patternFill>
    </fill>
    <fill>
      <patternFill patternType="solid">
        <fgColor rgb="FFC8DB80"/>
        <bgColor rgb="FF000000"/>
      </patternFill>
    </fill>
    <fill>
      <patternFill patternType="solid">
        <fgColor rgb="FFB9D67F"/>
        <bgColor rgb="FF000000"/>
      </patternFill>
    </fill>
    <fill>
      <patternFill patternType="solid">
        <fgColor rgb="FFA5D17E"/>
        <bgColor rgb="FF000000"/>
      </patternFill>
    </fill>
    <fill>
      <patternFill patternType="solid">
        <fgColor rgb="FFF8E983"/>
        <bgColor rgb="FF000000"/>
      </patternFill>
    </fill>
    <fill>
      <patternFill patternType="solid">
        <fgColor rgb="FFF4E783"/>
        <bgColor rgb="FF000000"/>
      </patternFill>
    </fill>
    <fill>
      <patternFill patternType="solid">
        <fgColor rgb="FFE1E282"/>
        <bgColor rgb="FF000000"/>
      </patternFill>
    </fill>
    <fill>
      <patternFill patternType="solid">
        <fgColor rgb="FFD8DF81"/>
        <bgColor rgb="FF000000"/>
      </patternFill>
    </fill>
    <fill>
      <patternFill patternType="solid">
        <fgColor rgb="FFBCD780"/>
        <bgColor rgb="FF000000"/>
      </patternFill>
    </fill>
    <fill>
      <patternFill patternType="solid">
        <fgColor rgb="FFA8D27F"/>
        <bgColor rgb="FF000000"/>
      </patternFill>
    </fill>
    <fill>
      <patternFill patternType="solid">
        <fgColor rgb="FF8CC97D"/>
        <bgColor rgb="FF000000"/>
      </patternFill>
    </fill>
    <fill>
      <patternFill patternType="solid">
        <fgColor rgb="FFFFE182"/>
        <bgColor rgb="FF000000"/>
      </patternFill>
    </fill>
    <fill>
      <patternFill patternType="solid">
        <fgColor rgb="FFFFE583"/>
        <bgColor rgb="FF000000"/>
      </patternFill>
    </fill>
    <fill>
      <patternFill patternType="solid">
        <fgColor rgb="FFFFE684"/>
        <bgColor rgb="FF000000"/>
      </patternFill>
    </fill>
    <fill>
      <patternFill patternType="solid">
        <fgColor rgb="FFF3E783"/>
        <bgColor rgb="FF000000"/>
      </patternFill>
    </fill>
    <fill>
      <patternFill patternType="solid">
        <fgColor rgb="FFB8D67F"/>
        <bgColor rgb="FF000000"/>
      </patternFill>
    </fill>
    <fill>
      <patternFill patternType="solid">
        <fgColor rgb="FFFDB87B"/>
        <bgColor rgb="FF000000"/>
      </patternFill>
    </fill>
    <fill>
      <patternFill patternType="solid">
        <fgColor rgb="FFFFDA81"/>
        <bgColor rgb="FF000000"/>
      </patternFill>
    </fill>
    <fill>
      <patternFill patternType="solid">
        <fgColor rgb="FFFFE784"/>
        <bgColor rgb="FF000000"/>
      </patternFill>
    </fill>
    <fill>
      <patternFill patternType="solid">
        <fgColor rgb="FF91CB7D"/>
        <bgColor rgb="FF000000"/>
      </patternFill>
    </fill>
    <fill>
      <patternFill patternType="solid">
        <fgColor rgb="FFD1DE81"/>
        <bgColor rgb="FF000000"/>
      </patternFill>
    </fill>
    <fill>
      <patternFill patternType="solid">
        <fgColor rgb="FF69C07B"/>
        <bgColor rgb="FF000000"/>
      </patternFill>
    </fill>
    <fill>
      <patternFill patternType="solid">
        <fgColor rgb="FFFCA777"/>
        <bgColor rgb="FF000000"/>
      </patternFill>
    </fill>
    <fill>
      <patternFill patternType="solid">
        <fgColor rgb="FFBAD780"/>
        <bgColor rgb="FF000000"/>
      </patternFill>
    </fill>
    <fill>
      <patternFill patternType="solid">
        <fgColor rgb="FF7CC57C"/>
        <bgColor rgb="FF000000"/>
      </patternFill>
    </fill>
    <fill>
      <patternFill patternType="solid">
        <fgColor rgb="FFFDBD7C"/>
        <bgColor rgb="FF000000"/>
      </patternFill>
    </fill>
    <fill>
      <patternFill patternType="solid">
        <fgColor rgb="FFFFD981"/>
        <bgColor rgb="FF000000"/>
      </patternFill>
    </fill>
    <fill>
      <patternFill patternType="solid">
        <fgColor rgb="FFCADB80"/>
        <bgColor rgb="FF000000"/>
      </patternFill>
    </fill>
    <fill>
      <patternFill patternType="solid">
        <fgColor rgb="FF8ECA7D"/>
        <bgColor rgb="FF000000"/>
      </patternFill>
    </fill>
    <fill>
      <patternFill patternType="solid">
        <fgColor rgb="FFFED981"/>
        <bgColor rgb="FF000000"/>
      </patternFill>
    </fill>
    <fill>
      <patternFill patternType="solid">
        <fgColor rgb="FFFFE183"/>
        <bgColor rgb="FF000000"/>
      </patternFill>
    </fill>
    <fill>
      <patternFill patternType="solid">
        <fgColor rgb="FFCBDC81"/>
        <bgColor rgb="FF000000"/>
      </patternFill>
    </fill>
    <fill>
      <patternFill patternType="solid">
        <fgColor rgb="FFFED680"/>
        <bgColor rgb="FF000000"/>
      </patternFill>
    </fill>
    <fill>
      <patternFill patternType="solid">
        <fgColor rgb="FFFFDE82"/>
        <bgColor rgb="FF000000"/>
      </patternFill>
    </fill>
    <fill>
      <patternFill patternType="solid">
        <fgColor rgb="FFFBEA84"/>
        <bgColor rgb="FF000000"/>
      </patternFill>
    </fill>
    <fill>
      <patternFill patternType="solid">
        <fgColor rgb="FFFEDD81"/>
        <bgColor rgb="FF000000"/>
      </patternFill>
    </fill>
    <fill>
      <patternFill patternType="solid">
        <fgColor rgb="FFFDCB7E"/>
        <bgColor rgb="FF000000"/>
      </patternFill>
    </fill>
    <fill>
      <patternFill patternType="solid">
        <fgColor rgb="FFFCB97A"/>
        <bgColor rgb="FF000000"/>
      </patternFill>
    </fill>
    <fill>
      <patternFill patternType="solid">
        <fgColor rgb="FFFBA676"/>
        <bgColor rgb="FF000000"/>
      </patternFill>
    </fill>
    <fill>
      <patternFill patternType="solid">
        <fgColor rgb="FFFA9272"/>
        <bgColor rgb="FF000000"/>
      </patternFill>
    </fill>
    <fill>
      <patternFill patternType="solid">
        <fgColor rgb="FFF97E6F"/>
        <bgColor rgb="FF000000"/>
      </patternFill>
    </fill>
    <fill>
      <patternFill patternType="solid">
        <fgColor rgb="FFF8716C"/>
        <bgColor rgb="FF000000"/>
      </patternFill>
    </fill>
    <fill>
      <patternFill patternType="solid">
        <fgColor rgb="FFF98470"/>
        <bgColor rgb="FF000000"/>
      </patternFill>
    </fill>
    <fill>
      <patternFill patternType="solid">
        <fgColor rgb="FFF7E984"/>
        <bgColor rgb="FF000000"/>
      </patternFill>
    </fill>
    <fill>
      <patternFill patternType="solid">
        <fgColor rgb="FFFED980"/>
        <bgColor rgb="FF000000"/>
      </patternFill>
    </fill>
    <fill>
      <patternFill patternType="solid">
        <fgColor rgb="FFFDC87D"/>
        <bgColor rgb="FF000000"/>
      </patternFill>
    </fill>
    <fill>
      <patternFill patternType="solid">
        <fgColor rgb="FFFCB77A"/>
        <bgColor rgb="FF000000"/>
      </patternFill>
    </fill>
    <fill>
      <patternFill patternType="solid">
        <fgColor rgb="FFFBA576"/>
        <bgColor rgb="FF000000"/>
      </patternFill>
    </fill>
    <fill>
      <patternFill patternType="solid">
        <fgColor rgb="FFF9806F"/>
        <bgColor rgb="FF000000"/>
      </patternFill>
    </fill>
    <fill>
      <patternFill patternType="solid">
        <fgColor rgb="FFF8756D"/>
        <bgColor rgb="FF000000"/>
      </patternFill>
    </fill>
    <fill>
      <patternFill patternType="solid">
        <fgColor rgb="FFFCEA84"/>
        <bgColor rgb="FF000000"/>
      </patternFill>
    </fill>
    <fill>
      <patternFill patternType="solid">
        <fgColor rgb="FFFDEB84"/>
        <bgColor rgb="FF000000"/>
      </patternFill>
    </fill>
    <fill>
      <patternFill patternType="solid">
        <fgColor rgb="FFFEEB84"/>
        <bgColor rgb="FF000000"/>
      </patternFill>
    </fill>
    <fill>
      <patternFill patternType="solid">
        <fgColor rgb="FFFCC07B"/>
        <bgColor rgb="FF000000"/>
      </patternFill>
    </fill>
    <fill>
      <patternFill patternType="solid">
        <fgColor rgb="FFFBA777"/>
        <bgColor rgb="FF000000"/>
      </patternFill>
    </fill>
    <fill>
      <patternFill patternType="solid">
        <fgColor rgb="FFFA9072"/>
        <bgColor rgb="FF000000"/>
      </patternFill>
    </fill>
    <fill>
      <patternFill patternType="solid">
        <fgColor rgb="FFF98570"/>
        <bgColor rgb="FF000000"/>
      </patternFill>
    </fill>
    <fill>
      <patternFill patternType="solid">
        <fgColor rgb="FFD1DE82"/>
        <bgColor rgb="FF000000"/>
      </patternFill>
    </fill>
    <fill>
      <patternFill patternType="solid">
        <fgColor rgb="FFEFE784"/>
        <bgColor rgb="FF000000"/>
      </patternFill>
    </fill>
    <fill>
      <patternFill patternType="solid">
        <fgColor rgb="FFF3E884"/>
        <bgColor rgb="FF000000"/>
      </patternFill>
    </fill>
    <fill>
      <patternFill patternType="solid">
        <fgColor rgb="FFF6E984"/>
        <bgColor rgb="FF000000"/>
      </patternFill>
    </fill>
    <fill>
      <patternFill patternType="solid">
        <fgColor rgb="FFF9EA84"/>
        <bgColor rgb="FF000000"/>
      </patternFill>
    </fill>
    <fill>
      <patternFill patternType="solid">
        <fgColor rgb="FFFEDF81"/>
        <bgColor rgb="FF000000"/>
      </patternFill>
    </fill>
    <fill>
      <patternFill patternType="solid">
        <fgColor rgb="FFFDC97D"/>
        <bgColor rgb="FF000000"/>
      </patternFill>
    </fill>
    <fill>
      <patternFill patternType="solid">
        <fgColor rgb="FFFBA376"/>
        <bgColor rgb="FF000000"/>
      </patternFill>
    </fill>
    <fill>
      <patternFill patternType="solid">
        <fgColor rgb="FFF4E884"/>
        <bgColor rgb="FF000000"/>
      </patternFill>
    </fill>
    <fill>
      <patternFill patternType="solid">
        <fgColor rgb="FFDDE182"/>
        <bgColor rgb="FF000000"/>
      </patternFill>
    </fill>
    <fill>
      <patternFill patternType="solid">
        <fgColor rgb="FFE5E483"/>
        <bgColor rgb="FF000000"/>
      </patternFill>
    </fill>
    <fill>
      <patternFill patternType="solid">
        <fgColor rgb="FFECE683"/>
        <bgColor rgb="FF000000"/>
      </patternFill>
    </fill>
    <fill>
      <patternFill patternType="solid">
        <fgColor rgb="FFFEDB80"/>
        <bgColor rgb="FF000000"/>
      </patternFill>
    </fill>
    <fill>
      <patternFill patternType="solid">
        <fgColor rgb="FFFCC57C"/>
        <bgColor rgb="FF000000"/>
      </patternFill>
    </fill>
    <fill>
      <patternFill patternType="solid">
        <fgColor rgb="FFFBA075"/>
        <bgColor rgb="FF000000"/>
      </patternFill>
    </fill>
    <fill>
      <patternFill patternType="solid">
        <fgColor rgb="FFA9D380"/>
        <bgColor rgb="FF000000"/>
      </patternFill>
    </fill>
    <fill>
      <patternFill patternType="solid">
        <fgColor rgb="FFF8E984"/>
        <bgColor rgb="FF000000"/>
      </patternFill>
    </fill>
    <fill>
      <patternFill patternType="solid">
        <fgColor rgb="FFFAEA84"/>
        <bgColor rgb="FF000000"/>
      </patternFill>
    </fill>
    <fill>
      <patternFill patternType="solid">
        <fgColor rgb="FFFCEB84"/>
        <bgColor rgb="FF000000"/>
      </patternFill>
    </fill>
    <fill>
      <patternFill patternType="solid">
        <fgColor rgb="FFFEE983"/>
        <bgColor rgb="FF000000"/>
      </patternFill>
    </fill>
    <fill>
      <patternFill patternType="solid">
        <fgColor rgb="FFFCB87A"/>
        <bgColor rgb="FF000000"/>
      </patternFill>
    </fill>
    <fill>
      <patternFill patternType="solid">
        <fgColor rgb="FFD2DE82"/>
        <bgColor rgb="FF000000"/>
      </patternFill>
    </fill>
    <fill>
      <patternFill patternType="solid">
        <fgColor rgb="FFE1E383"/>
        <bgColor rgb="FF000000"/>
      </patternFill>
    </fill>
    <fill>
      <patternFill patternType="solid">
        <fgColor rgb="FFFDD680"/>
        <bgColor rgb="FF000000"/>
      </patternFill>
    </fill>
    <fill>
      <patternFill patternType="solid">
        <fgColor rgb="FFFBAD78"/>
        <bgColor rgb="FF000000"/>
      </patternFill>
    </fill>
    <fill>
      <patternFill patternType="solid">
        <fgColor rgb="FFF97D6E"/>
        <bgColor rgb="FF000000"/>
      </patternFill>
    </fill>
    <fill>
      <patternFill patternType="solid">
        <fgColor rgb="FF9CCF7F"/>
        <bgColor rgb="FF000000"/>
      </patternFill>
    </fill>
    <fill>
      <patternFill patternType="solid">
        <fgColor rgb="FFBFD981"/>
        <bgColor rgb="FF000000"/>
      </patternFill>
    </fill>
    <fill>
      <patternFill patternType="solid">
        <fgColor rgb="FFD7E082"/>
        <bgColor rgb="FF000000"/>
      </patternFill>
    </fill>
    <fill>
      <patternFill patternType="solid">
        <fgColor rgb="FFEAE583"/>
        <bgColor rgb="FF000000"/>
      </patternFill>
    </fill>
    <fill>
      <patternFill patternType="solid">
        <fgColor rgb="FFFDD17F"/>
        <bgColor rgb="FF000000"/>
      </patternFill>
    </fill>
    <fill>
      <patternFill patternType="solid">
        <fgColor rgb="FFFBAA77"/>
        <bgColor rgb="FF000000"/>
      </patternFill>
    </fill>
    <fill>
      <patternFill patternType="solid">
        <fgColor rgb="FFF8706C"/>
        <bgColor rgb="FF000000"/>
      </patternFill>
    </fill>
    <fill>
      <patternFill patternType="solid">
        <fgColor rgb="FF96CD7E"/>
        <bgColor rgb="FF000000"/>
      </patternFill>
    </fill>
    <fill>
      <patternFill patternType="solid">
        <fgColor rgb="FFE8E583"/>
        <bgColor rgb="FF000000"/>
      </patternFill>
    </fill>
    <fill>
      <patternFill patternType="solid">
        <fgColor rgb="FFF0E784"/>
        <bgColor rgb="FF000000"/>
      </patternFill>
    </fill>
    <fill>
      <patternFill patternType="solid">
        <fgColor rgb="FFF5E884"/>
        <bgColor rgb="FF000000"/>
      </patternFill>
    </fill>
    <fill>
      <patternFill patternType="solid">
        <fgColor rgb="FFFCC37C"/>
        <bgColor rgb="FF000000"/>
      </patternFill>
    </fill>
    <fill>
      <patternFill patternType="solid">
        <fgColor rgb="FFF98C71"/>
        <bgColor rgb="FF000000"/>
      </patternFill>
    </fill>
    <fill>
      <patternFill patternType="solid">
        <fgColor rgb="FFF98971"/>
        <bgColor rgb="FF000000"/>
      </patternFill>
    </fill>
    <fill>
      <patternFill patternType="solid">
        <fgColor rgb="FFBED981"/>
        <bgColor rgb="FF000000"/>
      </patternFill>
    </fill>
    <fill>
      <patternFill patternType="solid">
        <fgColor rgb="FFEBE683"/>
        <bgColor rgb="FF000000"/>
      </patternFill>
    </fill>
    <fill>
      <patternFill patternType="solid">
        <fgColor rgb="FFF2E884"/>
        <bgColor rgb="FF000000"/>
      </patternFill>
    </fill>
    <fill>
      <patternFill patternType="solid">
        <fgColor rgb="FFD3DF82"/>
        <bgColor rgb="FF000000"/>
      </patternFill>
    </fill>
    <fill>
      <patternFill patternType="solid">
        <fgColor rgb="FFDAE182"/>
        <bgColor rgb="FF000000"/>
      </patternFill>
    </fill>
    <fill>
      <patternFill patternType="solid">
        <fgColor rgb="FFDFE283"/>
        <bgColor rgb="FF000000"/>
      </patternFill>
    </fill>
    <fill>
      <patternFill patternType="solid">
        <fgColor rgb="FFE3E383"/>
        <bgColor rgb="FF000000"/>
      </patternFill>
    </fill>
    <fill>
      <patternFill patternType="solid">
        <fgColor rgb="FFE7E483"/>
        <bgColor rgb="FF000000"/>
      </patternFill>
    </fill>
    <fill>
      <patternFill patternType="solid">
        <fgColor rgb="FFE7E583"/>
        <bgColor rgb="FF000000"/>
      </patternFill>
    </fill>
    <fill>
      <patternFill patternType="solid">
        <fgColor rgb="FFCDDD82"/>
        <bgColor rgb="FF000000"/>
      </patternFill>
    </fill>
    <fill>
      <patternFill patternType="solid">
        <fgColor rgb="FFDBE182"/>
        <bgColor rgb="FF000000"/>
      </patternFill>
    </fill>
    <fill>
      <patternFill patternType="solid">
        <fgColor rgb="FFE4E483"/>
        <bgColor rgb="FF000000"/>
      </patternFill>
    </fill>
    <fill>
      <patternFill patternType="solid">
        <fgColor rgb="FFF1E784"/>
        <bgColor rgb="FF000000"/>
      </patternFill>
    </fill>
    <fill>
      <patternFill patternType="solid">
        <fgColor rgb="FFFEDE81"/>
        <bgColor rgb="FF000000"/>
      </patternFill>
    </fill>
    <fill>
      <patternFill patternType="solid">
        <fgColor rgb="FFFBAE78"/>
        <bgColor rgb="FF000000"/>
      </patternFill>
    </fill>
    <fill>
      <patternFill patternType="solid">
        <fgColor rgb="FFFA9A74"/>
        <bgColor rgb="FF000000"/>
      </patternFill>
    </fill>
    <fill>
      <patternFill patternType="solid">
        <fgColor rgb="FF8ECB7E"/>
        <bgColor rgb="FF000000"/>
      </patternFill>
    </fill>
    <fill>
      <patternFill patternType="solid">
        <fgColor rgb="FFAFD480"/>
        <bgColor rgb="FF000000"/>
      </patternFill>
    </fill>
    <fill>
      <patternFill patternType="solid">
        <fgColor rgb="FFC5DB81"/>
        <bgColor rgb="FF000000"/>
      </patternFill>
    </fill>
    <fill>
      <patternFill patternType="solid">
        <fgColor rgb="FFD5DF82"/>
        <bgColor rgb="FF000000"/>
      </patternFill>
    </fill>
    <fill>
      <patternFill patternType="solid">
        <fgColor rgb="FFE2E383"/>
        <bgColor rgb="FF000000"/>
      </patternFill>
    </fill>
    <fill>
      <patternFill patternType="solid">
        <fgColor rgb="FFFDD880"/>
        <bgColor rgb="FF000000"/>
      </patternFill>
    </fill>
    <fill>
      <patternFill patternType="solid">
        <fgColor rgb="FFF5E984"/>
        <bgColor rgb="FF000000"/>
      </patternFill>
    </fill>
    <fill>
      <patternFill patternType="solid">
        <fgColor rgb="FFFCC27C"/>
        <bgColor rgb="FF000000"/>
      </patternFill>
    </fill>
    <fill>
      <patternFill patternType="solid">
        <fgColor rgb="FFFEE783"/>
        <bgColor rgb="FF000000"/>
      </patternFill>
    </fill>
    <fill>
      <patternFill patternType="solid">
        <fgColor rgb="FFF97C6E"/>
        <bgColor rgb="FF000000"/>
      </patternFill>
    </fill>
    <fill>
      <patternFill patternType="solid">
        <fgColor rgb="FFF97F6F"/>
        <bgColor rgb="FF000000"/>
      </patternFill>
    </fill>
    <fill>
      <patternFill patternType="solid">
        <fgColor rgb="FFF9816F"/>
        <bgColor rgb="FF000000"/>
      </patternFill>
    </fill>
    <fill>
      <patternFill patternType="solid">
        <fgColor rgb="FFF98871"/>
        <bgColor rgb="FF000000"/>
      </patternFill>
    </fill>
    <fill>
      <patternFill patternType="solid">
        <fgColor rgb="FFFA9172"/>
        <bgColor rgb="FF000000"/>
      </patternFill>
    </fill>
    <fill>
      <patternFill patternType="solid">
        <fgColor rgb="FFFA9573"/>
        <bgColor rgb="FF000000"/>
      </patternFill>
    </fill>
    <fill>
      <patternFill patternType="solid">
        <fgColor rgb="FFFA9974"/>
        <bgColor rgb="FF000000"/>
      </patternFill>
    </fill>
    <fill>
      <patternFill patternType="solid">
        <fgColor rgb="FFFA8E72"/>
        <bgColor rgb="FF000000"/>
      </patternFill>
    </fill>
    <fill>
      <patternFill patternType="solid">
        <fgColor rgb="FFF98D72"/>
        <bgColor rgb="FF000000"/>
      </patternFill>
    </fill>
    <fill>
      <patternFill patternType="solid">
        <fgColor rgb="FFFA9273"/>
        <bgColor rgb="FF000000"/>
      </patternFill>
    </fill>
    <fill>
      <patternFill patternType="solid">
        <fgColor rgb="FFFA9874"/>
        <bgColor rgb="FF000000"/>
      </patternFill>
    </fill>
    <fill>
      <patternFill patternType="solid">
        <fgColor rgb="FFFA9C74"/>
        <bgColor rgb="FF000000"/>
      </patternFill>
    </fill>
    <fill>
      <patternFill patternType="solid">
        <fgColor rgb="FFFA9473"/>
        <bgColor rgb="FF000000"/>
      </patternFill>
    </fill>
    <fill>
      <patternFill patternType="solid">
        <fgColor rgb="FFFA9B74"/>
        <bgColor rgb="FF000000"/>
      </patternFill>
    </fill>
    <fill>
      <patternFill patternType="solid">
        <fgColor rgb="FFFBAC77"/>
        <bgColor rgb="FF000000"/>
      </patternFill>
    </fill>
    <fill>
      <patternFill patternType="solid">
        <fgColor rgb="FFFCB579"/>
        <bgColor rgb="FF000000"/>
      </patternFill>
    </fill>
    <fill>
      <patternFill patternType="solid">
        <fgColor rgb="FFFCBD7B"/>
        <bgColor rgb="FF000000"/>
      </patternFill>
    </fill>
    <fill>
      <patternFill patternType="solid">
        <fgColor rgb="FFFBB078"/>
        <bgColor rgb="FF000000"/>
      </patternFill>
    </fill>
    <fill>
      <patternFill patternType="solid">
        <fgColor rgb="FFE9E583"/>
        <bgColor rgb="FF000000"/>
      </patternFill>
    </fill>
    <fill>
      <patternFill patternType="solid">
        <fgColor rgb="FFFCB479"/>
        <bgColor rgb="FF000000"/>
      </patternFill>
    </fill>
    <fill>
      <patternFill patternType="solid">
        <fgColor rgb="FFFDCF7E"/>
        <bgColor rgb="FF000000"/>
      </patternFill>
    </fill>
    <fill>
      <patternFill patternType="solid">
        <fgColor rgb="FFFCBE7B"/>
        <bgColor rgb="FF000000"/>
      </patternFill>
    </fill>
    <fill>
      <patternFill patternType="solid">
        <fgColor rgb="FFFDCE7E"/>
        <bgColor rgb="FF000000"/>
      </patternFill>
    </fill>
    <fill>
      <patternFill patternType="solid">
        <fgColor rgb="FFFDD57F"/>
        <bgColor rgb="FF000000"/>
      </patternFill>
    </fill>
    <fill>
      <patternFill patternType="solid">
        <fgColor rgb="FFEDE683"/>
        <bgColor rgb="FF000000"/>
      </patternFill>
    </fill>
    <fill>
      <patternFill patternType="solid">
        <fgColor rgb="FFFCBC7A"/>
        <bgColor rgb="FF000000"/>
      </patternFill>
    </fill>
    <fill>
      <patternFill patternType="solid">
        <fgColor rgb="FFFDC67C"/>
        <bgColor rgb="FF000000"/>
      </patternFill>
    </fill>
    <fill>
      <patternFill patternType="solid">
        <fgColor rgb="FFFDD27F"/>
        <bgColor rgb="FF000000"/>
      </patternFill>
    </fill>
    <fill>
      <patternFill patternType="solid">
        <fgColor rgb="FFFEDA80"/>
        <bgColor rgb="FF000000"/>
      </patternFill>
    </fill>
    <fill>
      <patternFill patternType="solid">
        <fgColor rgb="FFFEE482"/>
        <bgColor rgb="FF000000"/>
      </patternFill>
    </fill>
    <fill>
      <patternFill patternType="solid">
        <fgColor rgb="FFF2E784"/>
        <bgColor rgb="FF000000"/>
      </patternFill>
    </fill>
    <fill>
      <patternFill patternType="solid">
        <fgColor rgb="FFD9E082"/>
        <bgColor rgb="FF000000"/>
      </patternFill>
    </fill>
    <fill>
      <patternFill patternType="solid">
        <fgColor rgb="FFFEE081"/>
        <bgColor rgb="FF000000"/>
      </patternFill>
    </fill>
    <fill>
      <patternFill patternType="solid">
        <fgColor rgb="FFFEDC81"/>
        <bgColor rgb="FF000000"/>
      </patternFill>
    </fill>
    <fill>
      <patternFill patternType="solid">
        <fgColor rgb="FFFCC47C"/>
        <bgColor rgb="FF000000"/>
      </patternFill>
    </fill>
    <fill>
      <patternFill patternType="solid">
        <fgColor rgb="FFFBA977"/>
        <bgColor rgb="FF000000"/>
      </patternFill>
    </fill>
    <fill>
      <patternFill patternType="solid">
        <fgColor rgb="FFF98370"/>
        <bgColor rgb="FF000000"/>
      </patternFill>
    </fill>
    <fill>
      <patternFill patternType="solid">
        <fgColor rgb="FFD4DF82"/>
        <bgColor rgb="FF000000"/>
      </patternFill>
    </fill>
    <fill>
      <patternFill patternType="solid">
        <fgColor rgb="FFFED880"/>
        <bgColor rgb="FF000000"/>
      </patternFill>
    </fill>
    <fill>
      <patternFill patternType="solid">
        <fgColor rgb="FFF98770"/>
        <bgColor rgb="FF000000"/>
      </patternFill>
    </fill>
    <fill>
      <patternFill patternType="solid">
        <fgColor rgb="FFFA9F75"/>
        <bgColor rgb="FF000000"/>
      </patternFill>
    </fill>
    <fill>
      <patternFill patternType="solid">
        <fgColor rgb="FFF98870"/>
        <bgColor rgb="FF000000"/>
      </patternFill>
    </fill>
    <fill>
      <patternFill patternType="solid">
        <fgColor rgb="FFFA9773"/>
        <bgColor rgb="FF000000"/>
      </patternFill>
    </fill>
    <fill>
      <patternFill patternType="solid">
        <fgColor rgb="FFFBAB77"/>
        <bgColor rgb="FF000000"/>
      </patternFill>
    </fill>
    <fill>
      <patternFill patternType="solid">
        <fgColor rgb="FFFA9774"/>
        <bgColor rgb="FF000000"/>
      </patternFill>
    </fill>
    <fill>
      <patternFill patternType="solid">
        <fgColor rgb="FFFAA075"/>
        <bgColor rgb="FF000000"/>
      </patternFill>
    </fill>
    <fill>
      <patternFill patternType="solid">
        <fgColor rgb="FFFCBF7B"/>
        <bgColor rgb="FF000000"/>
      </patternFill>
    </fill>
    <fill>
      <patternFill patternType="solid">
        <fgColor rgb="FFF98B71"/>
        <bgColor rgb="FF000000"/>
      </patternFill>
    </fill>
    <fill>
      <patternFill patternType="solid">
        <fgColor rgb="FFFA9673"/>
        <bgColor rgb="FF000000"/>
      </patternFill>
    </fill>
    <fill>
      <patternFill patternType="solid">
        <fgColor rgb="FFFA9D75"/>
        <bgColor rgb="FF000000"/>
      </patternFill>
    </fill>
    <fill>
      <patternFill patternType="solid">
        <fgColor rgb="FFFBAF78"/>
        <bgColor rgb="FF000000"/>
      </patternFill>
    </fill>
    <fill>
      <patternFill patternType="solid">
        <fgColor rgb="FFFDD07E"/>
        <bgColor rgb="FF000000"/>
      </patternFill>
    </fill>
    <fill>
      <patternFill patternType="solid">
        <fgColor rgb="FFFEE582"/>
        <bgColor rgb="FF000000"/>
      </patternFill>
    </fill>
    <fill>
      <patternFill patternType="solid">
        <fgColor rgb="FFFDD47F"/>
        <bgColor rgb="FF000000"/>
      </patternFill>
    </fill>
    <fill>
      <patternFill patternType="solid">
        <fgColor rgb="FFFEE082"/>
        <bgColor rgb="FF000000"/>
      </patternFill>
    </fill>
    <fill>
      <patternFill patternType="solid">
        <fgColor rgb="FFFBB279"/>
        <bgColor rgb="FF000000"/>
      </patternFill>
    </fill>
    <fill>
      <patternFill patternType="solid">
        <fgColor rgb="FF98CE7F"/>
        <bgColor rgb="FF000000"/>
      </patternFill>
    </fill>
    <fill>
      <patternFill patternType="solid">
        <fgColor rgb="FF9DCE7E"/>
        <bgColor rgb="FF000000"/>
      </patternFill>
    </fill>
    <fill>
      <patternFill patternType="solid">
        <fgColor rgb="FF85C87D"/>
        <bgColor rgb="FF000000"/>
      </patternFill>
    </fill>
    <fill>
      <patternFill patternType="solid">
        <fgColor rgb="FF73C27B"/>
        <bgColor rgb="FF000000"/>
      </patternFill>
    </fill>
    <fill>
      <patternFill patternType="solid">
        <fgColor rgb="FFDFE282"/>
        <bgColor rgb="FF000000"/>
      </patternFill>
    </fill>
    <fill>
      <patternFill patternType="solid">
        <fgColor rgb="FFA2D07E"/>
        <bgColor rgb="FF000000"/>
      </patternFill>
    </fill>
    <fill>
      <patternFill patternType="solid">
        <fgColor rgb="FF8BC97D"/>
        <bgColor rgb="FF000000"/>
      </patternFill>
    </fill>
    <fill>
      <patternFill patternType="solid">
        <fgColor rgb="FFFECB7E"/>
        <bgColor rgb="FF000000"/>
      </patternFill>
    </fill>
    <fill>
      <patternFill patternType="solid">
        <fgColor rgb="FFA4D07E"/>
        <bgColor rgb="FF000000"/>
      </patternFill>
    </fill>
    <fill>
      <patternFill patternType="solid">
        <fgColor rgb="FF7BC57C"/>
        <bgColor rgb="FF000000"/>
      </patternFill>
    </fill>
    <fill>
      <patternFill patternType="solid">
        <fgColor rgb="FF7FC67C"/>
        <bgColor rgb="FF000000"/>
      </patternFill>
    </fill>
    <fill>
      <patternFill patternType="solid">
        <fgColor rgb="FFBDD880"/>
        <bgColor rgb="FF000000"/>
      </patternFill>
    </fill>
    <fill>
      <patternFill patternType="solid">
        <fgColor rgb="FFFED780"/>
        <bgColor rgb="FF000000"/>
      </patternFill>
    </fill>
    <fill>
      <patternFill patternType="solid">
        <fgColor rgb="FFE0E282"/>
        <bgColor rgb="FF000000"/>
      </patternFill>
    </fill>
    <fill>
      <patternFill patternType="solid">
        <fgColor rgb="FF9ACD7E"/>
        <bgColor rgb="FF000000"/>
      </patternFill>
    </fill>
    <fill>
      <patternFill patternType="solid">
        <fgColor rgb="FFF9786E"/>
        <bgColor rgb="FF000000"/>
      </patternFill>
    </fill>
    <fill>
      <patternFill patternType="solid">
        <fgColor rgb="FFFA8671"/>
        <bgColor rgb="FF000000"/>
      </patternFill>
    </fill>
    <fill>
      <patternFill patternType="solid">
        <fgColor rgb="FFFB9374"/>
        <bgColor rgb="FF000000"/>
      </patternFill>
    </fill>
    <fill>
      <patternFill patternType="solid">
        <fgColor rgb="FFFDBF7C"/>
        <bgColor rgb="FF000000"/>
      </patternFill>
    </fill>
    <fill>
      <patternFill patternType="solid">
        <fgColor rgb="FFD7DF81"/>
        <bgColor rgb="FF000000"/>
      </patternFill>
    </fill>
    <fill>
      <patternFill patternType="solid">
        <fgColor rgb="FFAAD27F"/>
        <bgColor rgb="FF000000"/>
      </patternFill>
    </fill>
    <fill>
      <patternFill patternType="solid">
        <fgColor rgb="FF86C87D"/>
        <bgColor rgb="FF000000"/>
      </patternFill>
    </fill>
    <fill>
      <patternFill patternType="solid">
        <fgColor rgb="FFCFDD81"/>
        <bgColor rgb="FF000000"/>
      </patternFill>
    </fill>
    <fill>
      <patternFill patternType="solid">
        <fgColor rgb="FFFA8771"/>
        <bgColor rgb="FF000000"/>
      </patternFill>
    </fill>
    <fill>
      <patternFill patternType="solid">
        <fgColor rgb="FFCEDD81"/>
        <bgColor rgb="FF000000"/>
      </patternFill>
    </fill>
    <fill>
      <patternFill patternType="solid">
        <fgColor rgb="FFA4D17E"/>
        <bgColor rgb="FF000000"/>
      </patternFill>
    </fill>
    <fill>
      <patternFill patternType="solid">
        <fgColor rgb="FF6FC17B"/>
        <bgColor rgb="FF000000"/>
      </patternFill>
    </fill>
    <fill>
      <patternFill patternType="solid">
        <fgColor rgb="FFFB9774"/>
        <bgColor rgb="FF000000"/>
      </patternFill>
    </fill>
    <fill>
      <patternFill patternType="solid">
        <fgColor rgb="FFFCEA83"/>
        <bgColor rgb="FF000000"/>
      </patternFill>
    </fill>
    <fill>
      <patternFill patternType="solid">
        <fgColor rgb="FF85C77C"/>
        <bgColor rgb="FF000000"/>
      </patternFill>
    </fill>
    <fill>
      <patternFill patternType="solid">
        <fgColor rgb="FF71C27B"/>
        <bgColor rgb="FF000000"/>
      </patternFill>
    </fill>
    <fill>
      <patternFill patternType="solid">
        <fgColor rgb="FFFBA176"/>
        <bgColor rgb="FF000000"/>
      </patternFill>
    </fill>
    <fill>
      <patternFill patternType="solid">
        <fgColor rgb="FFFCAD78"/>
        <bgColor rgb="FF000000"/>
      </patternFill>
    </fill>
    <fill>
      <patternFill patternType="solid">
        <fgColor rgb="FFD5DF81"/>
        <bgColor rgb="FF000000"/>
      </patternFill>
    </fill>
    <fill>
      <patternFill patternType="solid">
        <fgColor rgb="FFF9756E"/>
        <bgColor rgb="FF000000"/>
      </patternFill>
    </fill>
    <fill>
      <patternFill patternType="solid">
        <fgColor rgb="FFFA8170"/>
        <bgColor rgb="FF000000"/>
      </patternFill>
    </fill>
    <fill>
      <patternFill patternType="solid">
        <fgColor rgb="FFFA8D72"/>
        <bgColor rgb="FF000000"/>
      </patternFill>
    </fill>
    <fill>
      <patternFill patternType="solid">
        <fgColor rgb="FFF0E683"/>
        <bgColor rgb="FF000000"/>
      </patternFill>
    </fill>
    <fill>
      <patternFill patternType="solid">
        <fgColor rgb="FFFA8270"/>
        <bgColor rgb="FF000000"/>
      </patternFill>
    </fill>
    <fill>
      <patternFill patternType="solid">
        <fgColor rgb="FFB4D57F"/>
        <bgColor rgb="FF000000"/>
      </patternFill>
    </fill>
    <fill>
      <patternFill patternType="solid">
        <fgColor rgb="FFFA8370"/>
        <bgColor rgb="FF000000"/>
      </patternFill>
    </fill>
    <fill>
      <patternFill patternType="solid">
        <fgColor rgb="FFFB9073"/>
        <bgColor rgb="FF000000"/>
      </patternFill>
    </fill>
    <fill>
      <patternFill patternType="solid">
        <fgColor rgb="FFE7E482"/>
        <bgColor rgb="FF000000"/>
      </patternFill>
    </fill>
    <fill>
      <patternFill patternType="solid">
        <fgColor rgb="FFFB9173"/>
        <bgColor rgb="FF000000"/>
      </patternFill>
    </fill>
    <fill>
      <patternFill patternType="solid">
        <fgColor rgb="FFE4E382"/>
        <bgColor rgb="FF000000"/>
      </patternFill>
    </fill>
    <fill>
      <patternFill patternType="solid">
        <fgColor rgb="FFB1D47F"/>
        <bgColor rgb="FF000000"/>
      </patternFill>
    </fill>
    <fill>
      <patternFill patternType="solid">
        <fgColor rgb="FF6DC07B"/>
        <bgColor rgb="FF000000"/>
      </patternFill>
    </fill>
    <fill>
      <patternFill patternType="solid">
        <fgColor rgb="FF96CC7D"/>
        <bgColor rgb="FF000000"/>
      </patternFill>
    </fill>
    <fill>
      <patternFill patternType="solid">
        <fgColor rgb="FFFB9975"/>
        <bgColor rgb="FF000000"/>
      </patternFill>
    </fill>
    <fill>
      <patternFill patternType="solid">
        <fgColor rgb="FF95CC7D"/>
        <bgColor rgb="FF000000"/>
      </patternFill>
    </fill>
    <fill>
      <patternFill patternType="solid">
        <fgColor rgb="FFC4DA80"/>
        <bgColor rgb="FF000000"/>
      </patternFill>
    </fill>
    <fill>
      <patternFill patternType="solid">
        <fgColor rgb="FFB9D780"/>
        <bgColor rgb="FF000000"/>
      </patternFill>
    </fill>
    <fill>
      <patternFill patternType="solid">
        <fgColor rgb="FFADD37F"/>
        <bgColor rgb="FF000000"/>
      </patternFill>
    </fill>
    <fill>
      <patternFill patternType="solid">
        <fgColor rgb="FFA6D17E"/>
        <bgColor rgb="FF000000"/>
      </patternFill>
    </fill>
    <fill>
      <patternFill patternType="solid">
        <fgColor rgb="FF97CD7E"/>
        <bgColor rgb="FF000000"/>
      </patternFill>
    </fill>
    <fill>
      <patternFill patternType="solid">
        <fgColor rgb="FF8FCA7D"/>
        <bgColor rgb="FF000000"/>
      </patternFill>
    </fill>
    <fill>
      <patternFill patternType="solid">
        <fgColor rgb="FFC2D980"/>
        <bgColor rgb="FF000000"/>
      </patternFill>
    </fill>
    <fill>
      <patternFill patternType="solid">
        <fgColor rgb="FFA9D27F"/>
        <bgColor rgb="FF000000"/>
      </patternFill>
    </fill>
    <fill>
      <patternFill patternType="solid">
        <fgColor rgb="FFA1CF7E"/>
        <bgColor rgb="FF000000"/>
      </patternFill>
    </fill>
    <fill>
      <patternFill patternType="solid">
        <fgColor rgb="FF7EC57C"/>
        <bgColor rgb="FF000000"/>
      </patternFill>
    </fill>
    <fill>
      <patternFill patternType="solid">
        <fgColor rgb="FFD1DD81"/>
        <bgColor rgb="FF000000"/>
      </patternFill>
    </fill>
    <fill>
      <patternFill patternType="solid">
        <fgColor rgb="FFD0DD81"/>
        <bgColor rgb="FF000000"/>
      </patternFill>
    </fill>
    <fill>
      <patternFill patternType="solid">
        <fgColor rgb="FFCEDC81"/>
        <bgColor rgb="FF000000"/>
      </patternFill>
    </fill>
    <fill>
      <patternFill patternType="solid">
        <fgColor rgb="FFC4D980"/>
        <bgColor rgb="FF000000"/>
      </patternFill>
    </fill>
    <fill>
      <patternFill patternType="solid">
        <fgColor rgb="FFA7D17E"/>
        <bgColor rgb="FF000000"/>
      </patternFill>
    </fill>
    <fill>
      <patternFill patternType="solid">
        <fgColor rgb="FF9CCE7E"/>
        <bgColor rgb="FF000000"/>
      </patternFill>
    </fill>
    <fill>
      <patternFill patternType="solid">
        <fgColor rgb="FF81C67C"/>
        <bgColor rgb="FF000000"/>
      </patternFill>
    </fill>
    <fill>
      <patternFill patternType="solid">
        <fgColor rgb="FFD5DE81"/>
        <bgColor rgb="FF000000"/>
      </patternFill>
    </fill>
    <fill>
      <patternFill patternType="solid">
        <fgColor rgb="FFD3DE81"/>
        <bgColor rgb="FF000000"/>
      </patternFill>
    </fill>
    <fill>
      <patternFill patternType="solid">
        <fgColor rgb="FFB2D57F"/>
        <bgColor rgb="FF000000"/>
      </patternFill>
    </fill>
    <fill>
      <patternFill patternType="solid">
        <fgColor rgb="FF98CD7E"/>
        <bgColor rgb="FF000000"/>
      </patternFill>
    </fill>
    <fill>
      <patternFill patternType="solid">
        <fgColor rgb="FF75C37C"/>
        <bgColor rgb="FF000000"/>
      </patternFill>
    </fill>
    <fill>
      <patternFill patternType="solid">
        <fgColor rgb="FFFCA877"/>
        <bgColor rgb="FF000000"/>
      </patternFill>
    </fill>
    <fill>
      <patternFill patternType="solid">
        <fgColor rgb="FFAED37F"/>
        <bgColor rgb="FF000000"/>
      </patternFill>
    </fill>
    <fill>
      <patternFill patternType="solid">
        <fgColor rgb="FFFCB179"/>
        <bgColor rgb="FF000000"/>
      </patternFill>
    </fill>
    <fill>
      <patternFill patternType="solid">
        <fgColor rgb="FFABD27F"/>
        <bgColor rgb="FF000000"/>
      </patternFill>
    </fill>
    <fill>
      <patternFill patternType="solid">
        <fgColor rgb="FFFDBD7B"/>
        <bgColor rgb="FF000000"/>
      </patternFill>
    </fill>
    <fill>
      <patternFill patternType="solid">
        <fgColor rgb="FFFEC87E"/>
        <bgColor rgb="FF000000"/>
      </patternFill>
    </fill>
    <fill>
      <patternFill patternType="solid">
        <fgColor rgb="FFFCA978"/>
        <bgColor rgb="FF000000"/>
      </patternFill>
    </fill>
    <fill>
      <patternFill patternType="solid">
        <fgColor rgb="FFF5E883"/>
        <bgColor rgb="FF000000"/>
      </patternFill>
    </fill>
    <fill>
      <patternFill patternType="solid">
        <fgColor rgb="FF83C77C"/>
        <bgColor rgb="FF000000"/>
      </patternFill>
    </fill>
    <fill>
      <patternFill patternType="solid">
        <fgColor rgb="FFFCAE79"/>
        <bgColor rgb="FF000000"/>
      </patternFill>
    </fill>
    <fill>
      <patternFill patternType="solid">
        <fgColor rgb="FFA8D17E"/>
        <bgColor rgb="FF000000"/>
      </patternFill>
    </fill>
    <fill>
      <patternFill patternType="solid">
        <fgColor rgb="FFCDDC81"/>
        <bgColor rgb="FF000000"/>
      </patternFill>
    </fill>
    <fill>
      <patternFill patternType="solid">
        <fgColor rgb="FFB6D67F"/>
        <bgColor rgb="FF000000"/>
      </patternFill>
    </fill>
    <fill>
      <patternFill patternType="solid">
        <fgColor rgb="FFA1D07E"/>
        <bgColor rgb="FF000000"/>
      </patternFill>
    </fill>
    <fill>
      <patternFill patternType="solid">
        <fgColor rgb="FFDAE081"/>
        <bgColor rgb="FF000000"/>
      </patternFill>
    </fill>
    <fill>
      <patternFill patternType="solid">
        <fgColor rgb="FFD9E081"/>
        <bgColor rgb="FF000000"/>
      </patternFill>
    </fill>
    <fill>
      <patternFill patternType="solid">
        <fgColor rgb="FF9BCE7E"/>
        <bgColor rgb="FF000000"/>
      </patternFill>
    </fill>
    <fill>
      <patternFill patternType="solid">
        <fgColor rgb="FFDCE182"/>
        <bgColor rgb="FF000000"/>
      </patternFill>
    </fill>
    <fill>
      <patternFill patternType="solid">
        <fgColor rgb="FFFDB47A"/>
        <bgColor rgb="FF000000"/>
      </patternFill>
    </fill>
    <fill>
      <patternFill patternType="solid">
        <fgColor rgb="FFB5D57F"/>
        <bgColor rgb="FF000000"/>
      </patternFill>
    </fill>
    <fill>
      <patternFill patternType="solid">
        <fgColor rgb="FFFA9E75"/>
        <bgColor rgb="FF000000"/>
      </patternFill>
    </fill>
    <fill>
      <patternFill patternType="solid">
        <fgColor rgb="FFF8736D"/>
        <bgColor rgb="FF000000"/>
      </patternFill>
    </fill>
    <fill>
      <patternFill patternType="solid">
        <fgColor rgb="FFFBB178"/>
        <bgColor rgb="FF000000"/>
      </patternFill>
    </fill>
    <fill>
      <patternFill patternType="solid">
        <fgColor rgb="FFFBA476"/>
        <bgColor rgb="FF000000"/>
      </patternFill>
    </fill>
    <fill>
      <patternFill patternType="solid">
        <fgColor rgb="FFF87A6E"/>
        <bgColor rgb="FF000000"/>
      </patternFill>
    </fill>
    <fill>
      <patternFill patternType="solid">
        <fgColor rgb="FFFEE182"/>
        <bgColor rgb="FF000000"/>
      </patternFill>
    </fill>
    <fill>
      <patternFill patternType="solid">
        <fgColor rgb="FFFDCA7D"/>
        <bgColor rgb="FF000000"/>
      </patternFill>
    </fill>
    <fill>
      <patternFill patternType="solid">
        <fgColor rgb="FFF8746D"/>
        <bgColor rgb="FF000000"/>
      </patternFill>
    </fill>
    <fill>
      <patternFill patternType="solid">
        <fgColor rgb="FF7AC57D"/>
        <bgColor rgb="FF000000"/>
      </patternFill>
    </fill>
    <fill>
      <patternFill patternType="solid">
        <fgColor rgb="FFDDE283"/>
        <bgColor rgb="FF000000"/>
      </patternFill>
    </fill>
    <fill>
      <patternFill patternType="solid">
        <fgColor rgb="FFF8776D"/>
        <bgColor rgb="FF000000"/>
      </patternFill>
    </fill>
    <fill>
      <patternFill patternType="solid">
        <fgColor rgb="FFFBA776"/>
        <bgColor rgb="FF000000"/>
      </patternFill>
    </fill>
    <fill>
      <patternFill patternType="solid">
        <fgColor rgb="FFF9826F"/>
        <bgColor rgb="FF000000"/>
      </patternFill>
    </fill>
    <fill>
      <patternFill patternType="solid">
        <fgColor rgb="FFF98670"/>
        <bgColor rgb="FF000000"/>
      </patternFill>
    </fill>
    <fill>
      <patternFill patternType="solid">
        <fgColor rgb="FFE0E283"/>
        <bgColor rgb="FF000000"/>
      </patternFill>
    </fill>
    <fill>
      <patternFill patternType="solid">
        <fgColor rgb="FFF98E72"/>
        <bgColor rgb="FF000000"/>
      </patternFill>
    </fill>
    <fill>
      <patternFill patternType="solid">
        <fgColor rgb="FFFA8F72"/>
        <bgColor rgb="FF000000"/>
      </patternFill>
    </fill>
    <fill>
      <patternFill patternType="solid">
        <fgColor rgb="FF89C97E"/>
        <bgColor rgb="FF000000"/>
      </patternFill>
    </fill>
    <fill>
      <patternFill patternType="solid">
        <fgColor rgb="FFA4D17F"/>
        <bgColor rgb="FF000000"/>
      </patternFill>
    </fill>
    <fill>
      <patternFill patternType="solid">
        <fgColor rgb="FFB8D780"/>
        <bgColor rgb="FF000000"/>
      </patternFill>
    </fill>
    <fill>
      <patternFill patternType="solid">
        <fgColor rgb="FFC9DC81"/>
        <bgColor rgb="FF000000"/>
      </patternFill>
    </fill>
    <fill>
      <patternFill patternType="solid">
        <fgColor rgb="FF70C27C"/>
        <bgColor rgb="FF000000"/>
      </patternFill>
    </fill>
    <fill>
      <patternFill patternType="solid">
        <fgColor rgb="FFB0D580"/>
        <bgColor rgb="FF000000"/>
      </patternFill>
    </fill>
    <fill>
      <patternFill patternType="solid">
        <fgColor rgb="FFC3DA81"/>
        <bgColor rgb="FF000000"/>
      </patternFill>
    </fill>
    <fill>
      <patternFill patternType="solid">
        <fgColor rgb="FFFCB379"/>
        <bgColor rgb="FF000000"/>
      </patternFill>
    </fill>
    <fill>
      <patternFill patternType="solid">
        <fgColor rgb="FF8FCB7E"/>
        <bgColor rgb="FF000000"/>
      </patternFill>
    </fill>
    <fill>
      <patternFill patternType="solid">
        <fgColor rgb="FFAED480"/>
        <bgColor rgb="FF000000"/>
      </patternFill>
    </fill>
    <fill>
      <patternFill patternType="solid">
        <fgColor rgb="FFC2DA81"/>
        <bgColor rgb="FF000000"/>
      </patternFill>
    </fill>
    <fill>
      <patternFill patternType="solid">
        <fgColor rgb="FF90CB7E"/>
        <bgColor rgb="FF000000"/>
      </patternFill>
    </fill>
    <fill>
      <patternFill patternType="solid">
        <fgColor rgb="FFFCBA7A"/>
        <bgColor rgb="FF000000"/>
      </patternFill>
    </fill>
    <fill>
      <patternFill patternType="solid">
        <fgColor rgb="FFD8E082"/>
        <bgColor rgb="FF000000"/>
      </patternFill>
    </fill>
    <fill>
      <patternFill patternType="solid">
        <fgColor rgb="FFDEE283"/>
        <bgColor rgb="FF000000"/>
      </patternFill>
    </fill>
    <fill>
      <patternFill patternType="solid">
        <fgColor rgb="FFE0E383"/>
        <bgColor rgb="FF000000"/>
      </patternFill>
    </fill>
    <fill>
      <patternFill patternType="solid">
        <fgColor rgb="FFE6E483"/>
        <bgColor rgb="FF000000"/>
      </patternFill>
    </fill>
    <fill>
      <patternFill patternType="solid">
        <fgColor rgb="FFEBE583"/>
        <bgColor rgb="FF000000"/>
      </patternFill>
    </fill>
    <fill>
      <patternFill patternType="solid">
        <fgColor rgb="FFD0DE82"/>
        <bgColor rgb="FF000000"/>
      </patternFill>
    </fill>
    <fill>
      <patternFill patternType="solid">
        <fgColor rgb="FFD6DF82"/>
        <bgColor rgb="FF000000"/>
      </patternFill>
    </fill>
    <fill>
      <patternFill patternType="solid">
        <fgColor rgb="FFB4D680"/>
        <bgColor rgb="FF000000"/>
      </patternFill>
    </fill>
    <fill>
      <patternFill patternType="solid">
        <fgColor rgb="FFC1DA81"/>
        <bgColor rgb="FF000000"/>
      </patternFill>
    </fill>
    <fill>
      <patternFill patternType="solid">
        <fgColor rgb="FFCCDD82"/>
        <bgColor rgb="FF000000"/>
      </patternFill>
    </fill>
    <fill>
      <patternFill patternType="solid">
        <fgColor rgb="FFFDD780"/>
        <bgColor rgb="FF000000"/>
      </patternFill>
    </fill>
    <fill>
      <patternFill patternType="solid">
        <fgColor rgb="FFFCB679"/>
        <bgColor rgb="FF000000"/>
      </patternFill>
    </fill>
    <fill>
      <patternFill patternType="solid">
        <fgColor rgb="FFACD480"/>
        <bgColor rgb="FF000000"/>
      </patternFill>
    </fill>
    <fill>
      <patternFill patternType="solid">
        <fgColor rgb="FFBDD881"/>
        <bgColor rgb="FF000000"/>
      </patternFill>
    </fill>
    <fill>
      <patternFill patternType="solid">
        <fgColor rgb="FFFEE883"/>
        <bgColor rgb="FF000000"/>
      </patternFill>
    </fill>
    <fill>
      <patternFill patternType="solid">
        <fgColor rgb="FFADD480"/>
        <bgColor rgb="FF000000"/>
      </patternFill>
    </fill>
    <fill>
      <patternFill patternType="solid">
        <fgColor rgb="FFF8736C"/>
        <bgColor rgb="FF000000"/>
      </patternFill>
    </fill>
    <fill>
      <patternFill patternType="solid">
        <fgColor rgb="FF8DCB7E"/>
        <bgColor rgb="FF000000"/>
      </patternFill>
    </fill>
    <fill>
      <patternFill patternType="solid">
        <fgColor rgb="FFA7D27F"/>
        <bgColor rgb="FF000000"/>
      </patternFill>
    </fill>
    <fill>
      <patternFill patternType="solid">
        <fgColor rgb="FFC8DB81"/>
        <bgColor rgb="FF000000"/>
      </patternFill>
    </fill>
    <fill>
      <patternFill patternType="solid">
        <fgColor rgb="FFFBB379"/>
        <bgColor rgb="FF000000"/>
      </patternFill>
    </fill>
    <fill>
      <patternFill patternType="solid">
        <fgColor rgb="FFF97B6E"/>
        <bgColor rgb="FF000000"/>
      </patternFill>
    </fill>
    <fill>
      <patternFill patternType="solid">
        <fgColor rgb="FFFEE683"/>
        <bgColor rgb="FF000000"/>
      </patternFill>
    </fill>
    <fill>
      <patternFill patternType="solid">
        <fgColor rgb="FFF98A71"/>
        <bgColor rgb="FF000000"/>
      </patternFill>
    </fill>
    <fill>
      <patternFill patternType="solid">
        <fgColor rgb="FFFBA276"/>
        <bgColor rgb="FF000000"/>
      </patternFill>
    </fill>
    <fill>
      <patternFill patternType="solid">
        <fgColor rgb="FFF86B6B"/>
        <bgColor rgb="FF000000"/>
      </patternFill>
    </fill>
    <fill>
      <patternFill patternType="solid">
        <fgColor rgb="FFFA9373"/>
        <bgColor rgb="FF000000"/>
      </patternFill>
    </fill>
    <fill>
      <patternFill patternType="solid">
        <fgColor rgb="FFFBA877"/>
        <bgColor rgb="FF000000"/>
      </patternFill>
    </fill>
    <fill>
      <patternFill patternType="solid">
        <fgColor rgb="FFFDC77D"/>
        <bgColor rgb="FF000000"/>
      </patternFill>
    </fill>
    <fill>
      <patternFill patternType="solid">
        <fgColor rgb="FFFDCB7D"/>
        <bgColor rgb="FF000000"/>
      </patternFill>
    </fill>
    <fill>
      <patternFill patternType="solid">
        <fgColor rgb="FFACD380"/>
        <bgColor rgb="FF000000"/>
      </patternFill>
    </fill>
    <fill>
      <patternFill patternType="solid">
        <fgColor rgb="FFFDD37F"/>
        <bgColor rgb="FF000000"/>
      </patternFill>
    </fill>
    <fill>
      <patternFill patternType="solid">
        <fgColor rgb="FFFEE382"/>
        <bgColor rgb="FF000000"/>
      </patternFill>
    </fill>
    <fill>
      <patternFill patternType="solid">
        <fgColor rgb="FFCFDD82"/>
        <bgColor rgb="FF000000"/>
      </patternFill>
    </fill>
    <fill>
      <patternFill patternType="solid">
        <fgColor rgb="FFFEDB81"/>
        <bgColor rgb="FF000000"/>
      </patternFill>
    </fill>
    <fill>
      <patternFill patternType="solid">
        <fgColor rgb="FFFDCD7E"/>
        <bgColor rgb="FF000000"/>
      </patternFill>
    </fill>
    <fill>
      <patternFill patternType="solid">
        <fgColor rgb="FFF86E6C"/>
        <bgColor rgb="FF000000"/>
      </patternFill>
    </fill>
    <fill>
      <patternFill patternType="solid">
        <fgColor rgb="FFF8796E"/>
        <bgColor rgb="FF000000"/>
      </patternFill>
    </fill>
    <fill>
      <patternFill patternType="solid">
        <fgColor rgb="FFF98D71"/>
        <bgColor rgb="FF000000"/>
      </patternFill>
    </fill>
    <fill>
      <patternFill patternType="solid">
        <fgColor rgb="FFC7DB81"/>
        <bgColor rgb="FF000000"/>
      </patternFill>
    </fill>
    <fill>
      <patternFill patternType="solid">
        <fgColor rgb="FFEEE784"/>
        <bgColor rgb="FF000000"/>
      </patternFill>
    </fill>
    <fill>
      <patternFill patternType="solid">
        <fgColor rgb="FFFDCC7E"/>
        <bgColor rgb="FF000000"/>
      </patternFill>
    </fill>
    <fill>
      <patternFill patternType="solid">
        <fgColor rgb="FFFEE583"/>
        <bgColor rgb="FF000000"/>
      </patternFill>
    </fill>
    <fill>
      <patternFill patternType="solid">
        <fgColor rgb="FFF86C6B"/>
        <bgColor rgb="FF000000"/>
      </patternFill>
    </fill>
    <fill>
      <patternFill patternType="solid">
        <fgColor rgb="FFB7D67F"/>
        <bgColor rgb="FF000000"/>
      </patternFill>
    </fill>
    <fill>
      <patternFill patternType="solid">
        <fgColor rgb="FFAFD37F"/>
        <bgColor rgb="FF000000"/>
      </patternFill>
    </fill>
    <fill>
      <patternFill patternType="solid">
        <fgColor rgb="FF89C97D"/>
        <bgColor rgb="FF000000"/>
      </patternFill>
    </fill>
    <fill>
      <patternFill patternType="solid">
        <fgColor rgb="FF82C67C"/>
        <bgColor rgb="FF000000"/>
      </patternFill>
    </fill>
    <fill>
      <patternFill patternType="solid">
        <fgColor rgb="FFFAE983"/>
        <bgColor rgb="FF000000"/>
      </patternFill>
    </fill>
    <fill>
      <patternFill patternType="solid">
        <fgColor rgb="FFFEC67D"/>
        <bgColor rgb="FF000000"/>
      </patternFill>
    </fill>
    <fill>
      <patternFill patternType="solid">
        <fgColor rgb="FFF7E883"/>
        <bgColor rgb="FF000000"/>
      </patternFill>
    </fill>
    <fill>
      <patternFill patternType="solid">
        <fgColor rgb="FFF4E883"/>
        <bgColor rgb="FF000000"/>
      </patternFill>
    </fill>
    <fill>
      <patternFill patternType="solid">
        <fgColor rgb="FFDFE182"/>
        <bgColor rgb="FF000000"/>
      </patternFill>
    </fill>
    <fill>
      <patternFill patternType="solid">
        <fgColor rgb="FFFA8070"/>
        <bgColor rgb="FF000000"/>
      </patternFill>
    </fill>
    <fill>
      <patternFill patternType="solid">
        <fgColor rgb="FFEAE582"/>
        <bgColor rgb="FF000000"/>
      </patternFill>
    </fill>
    <fill>
      <patternFill patternType="solid">
        <fgColor rgb="FFDCE081"/>
        <bgColor rgb="FF000000"/>
      </patternFill>
    </fill>
    <fill>
      <patternFill patternType="solid">
        <fgColor rgb="FFF9716D"/>
        <bgColor rgb="FF000000"/>
      </patternFill>
    </fill>
    <fill>
      <patternFill patternType="solid">
        <fgColor rgb="FFFA7F70"/>
        <bgColor rgb="FF000000"/>
      </patternFill>
    </fill>
    <fill>
      <patternFill patternType="solid">
        <fgColor rgb="FFF9726D"/>
        <bgColor rgb="FF000000"/>
      </patternFill>
    </fill>
    <fill>
      <patternFill patternType="solid">
        <fgColor rgb="FFF97B6F"/>
        <bgColor rgb="FF000000"/>
      </patternFill>
    </fill>
    <fill>
      <patternFill patternType="solid">
        <fgColor rgb="FFF9736D"/>
        <bgColor rgb="FF000000"/>
      </patternFill>
    </fill>
    <fill>
      <patternFill patternType="solid">
        <fgColor rgb="FFF97C6F"/>
        <bgColor rgb="FF000000"/>
      </patternFill>
    </fill>
    <fill>
      <patternFill patternType="solid">
        <fgColor rgb="FFFA8571"/>
        <bgColor rgb="FF000000"/>
      </patternFill>
    </fill>
    <fill>
      <patternFill patternType="solid">
        <fgColor rgb="FFFFDC81"/>
        <bgColor rgb="FF000000"/>
      </patternFill>
    </fill>
    <fill>
      <patternFill patternType="solid">
        <fgColor rgb="FF70C27B"/>
        <bgColor rgb="FF000000"/>
      </patternFill>
    </fill>
    <fill>
      <patternFill patternType="solid">
        <fgColor rgb="FF76C37C"/>
        <bgColor rgb="FF000000"/>
      </patternFill>
    </fill>
    <fill>
      <patternFill patternType="solid">
        <fgColor rgb="FFF9E983"/>
        <bgColor rgb="FF000000"/>
      </patternFill>
    </fill>
    <fill>
      <patternFill patternType="solid">
        <fgColor rgb="FFEBE582"/>
        <bgColor rgb="FF000000"/>
      </patternFill>
    </fill>
    <fill>
      <patternFill patternType="solid">
        <fgColor rgb="FFE3E282"/>
        <bgColor rgb="FF000000"/>
      </patternFill>
    </fill>
    <fill>
      <patternFill patternType="solid">
        <fgColor rgb="FFBDD780"/>
        <bgColor rgb="FF000000"/>
      </patternFill>
    </fill>
    <fill>
      <patternFill patternType="solid">
        <fgColor rgb="FFC7DA80"/>
        <bgColor rgb="FF000000"/>
      </patternFill>
    </fill>
    <fill>
      <patternFill patternType="solid">
        <fgColor rgb="FF78C47C"/>
        <bgColor rgb="FF000000"/>
      </patternFill>
    </fill>
    <fill>
      <patternFill patternType="solid">
        <fgColor rgb="FF74C37C"/>
        <bgColor rgb="FF000000"/>
      </patternFill>
    </fill>
    <fill>
      <patternFill patternType="solid">
        <fgColor rgb="FFFBE983"/>
        <bgColor rgb="FF000000"/>
      </patternFill>
    </fill>
    <fill>
      <patternFill patternType="solid">
        <fgColor rgb="FFFCBC7B"/>
        <bgColor rgb="FF000000"/>
      </patternFill>
    </fill>
    <fill>
      <patternFill patternType="solid">
        <fgColor rgb="FFFCC17B"/>
        <bgColor rgb="FF000000"/>
      </patternFill>
    </fill>
    <fill>
      <patternFill patternType="solid">
        <fgColor rgb="FFFBB179"/>
        <bgColor rgb="FF000000"/>
      </patternFill>
    </fill>
    <fill>
      <patternFill patternType="solid">
        <fgColor rgb="FFFCC17C"/>
        <bgColor rgb="FF000000"/>
      </patternFill>
    </fill>
    <fill>
      <patternFill patternType="solid">
        <fgColor rgb="FFFCBB7A"/>
        <bgColor rgb="FF000000"/>
      </patternFill>
    </fill>
    <fill>
      <patternFill patternType="solid">
        <fgColor rgb="FFFEE282"/>
        <bgColor rgb="FF000000"/>
      </patternFill>
    </fill>
    <fill>
      <patternFill patternType="solid">
        <fgColor rgb="FF77C47D"/>
        <bgColor rgb="FF000000"/>
      </patternFill>
    </fill>
    <fill>
      <patternFill patternType="solid">
        <fgColor rgb="FF87C97E"/>
        <bgColor rgb="FF000000"/>
      </patternFill>
    </fill>
    <fill>
      <patternFill patternType="solid">
        <fgColor rgb="FFA2D07F"/>
        <bgColor rgb="FF000000"/>
      </patternFill>
    </fill>
    <fill>
      <patternFill patternType="solid">
        <fgColor rgb="FFB6D680"/>
        <bgColor rgb="FF000000"/>
      </patternFill>
    </fill>
    <fill>
      <patternFill patternType="solid">
        <fgColor rgb="FFCEDD82"/>
        <bgColor rgb="FF000000"/>
      </patternFill>
    </fill>
    <fill>
      <patternFill patternType="solid">
        <fgColor rgb="FF7BC57D"/>
        <bgColor rgb="FF000000"/>
      </patternFill>
    </fill>
    <fill>
      <patternFill patternType="solid">
        <fgColor rgb="FF9FD07F"/>
        <bgColor rgb="FF000000"/>
      </patternFill>
    </fill>
    <fill>
      <patternFill patternType="solid">
        <fgColor rgb="FF7DC67D"/>
        <bgColor rgb="FF000000"/>
      </patternFill>
    </fill>
    <fill>
      <patternFill patternType="solid">
        <fgColor rgb="FF91CC7E"/>
        <bgColor rgb="FF000000"/>
      </patternFill>
    </fill>
    <fill>
      <patternFill patternType="solid">
        <fgColor rgb="FFB0D480"/>
        <bgColor rgb="FF000000"/>
      </patternFill>
    </fill>
    <fill>
      <patternFill patternType="solid">
        <fgColor rgb="FFBCD881"/>
        <bgColor rgb="FF000000"/>
      </patternFill>
    </fill>
    <fill>
      <patternFill patternType="solid">
        <fgColor rgb="FFC6DB81"/>
        <bgColor rgb="FF000000"/>
      </patternFill>
    </fill>
    <fill>
      <patternFill patternType="solid">
        <fgColor rgb="FF80C77D"/>
        <bgColor rgb="FF000000"/>
      </patternFill>
    </fill>
    <fill>
      <patternFill patternType="solid">
        <fgColor rgb="FFE4E383"/>
        <bgColor rgb="FF000000"/>
      </patternFill>
    </fill>
    <fill>
      <patternFill patternType="solid">
        <fgColor rgb="FF92CC7E"/>
        <bgColor rgb="FF000000"/>
      </patternFill>
    </fill>
    <fill>
      <patternFill patternType="solid">
        <fgColor rgb="FF9DCF7F"/>
        <bgColor rgb="FF000000"/>
      </patternFill>
    </fill>
    <fill>
      <patternFill patternType="solid">
        <fgColor rgb="FFB7D780"/>
        <bgColor rgb="FF000000"/>
      </patternFill>
    </fill>
    <fill>
      <patternFill patternType="solid">
        <fgColor rgb="FFC4DA81"/>
        <bgColor rgb="FF000000"/>
      </patternFill>
    </fill>
    <fill>
      <patternFill patternType="solid">
        <fgColor rgb="FFCADC81"/>
        <bgColor rgb="FF000000"/>
      </patternFill>
    </fill>
    <fill>
      <patternFill patternType="solid">
        <fgColor rgb="FFCFDE82"/>
        <bgColor rgb="FF000000"/>
      </patternFill>
    </fill>
    <fill>
      <patternFill patternType="solid">
        <fgColor rgb="FFABD380"/>
        <bgColor rgb="FF000000"/>
      </patternFill>
    </fill>
    <fill>
      <patternFill patternType="solid">
        <fgColor rgb="FFB5D680"/>
        <bgColor rgb="FF000000"/>
      </patternFill>
    </fill>
    <fill>
      <patternFill patternType="solid">
        <fgColor rgb="FFBED881"/>
        <bgColor rgb="FF000000"/>
      </patternFill>
    </fill>
    <fill>
      <patternFill patternType="solid">
        <fgColor rgb="FFA0D07F"/>
        <bgColor rgb="FF000000"/>
      </patternFill>
    </fill>
    <fill>
      <patternFill patternType="solid">
        <fgColor rgb="FFC0D981"/>
        <bgColor rgb="FF000000"/>
      </patternFill>
    </fill>
    <fill>
      <patternFill patternType="solid">
        <fgColor rgb="FFA1D07F"/>
        <bgColor rgb="FF000000"/>
      </patternFill>
    </fill>
    <fill>
      <patternFill patternType="solid">
        <fgColor rgb="FFF86A6B"/>
        <bgColor rgb="FF000000"/>
      </patternFill>
    </fill>
    <fill>
      <patternFill patternType="solid">
        <fgColor rgb="FFF86D6B"/>
        <bgColor rgb="FF000000"/>
      </patternFill>
    </fill>
    <fill>
      <patternFill patternType="solid">
        <fgColor rgb="FFF86E6B"/>
        <bgColor rgb="FF000000"/>
      </patternFill>
    </fill>
    <fill>
      <patternFill patternType="solid">
        <fgColor rgb="FFF86F6C"/>
        <bgColor rgb="FF000000"/>
      </patternFill>
    </fill>
    <fill>
      <patternFill patternType="solid">
        <fgColor rgb="FFF8726C"/>
        <bgColor rgb="FF000000"/>
      </patternFill>
    </fill>
    <fill>
      <patternFill patternType="solid">
        <fgColor rgb="FFF8766D"/>
        <bgColor rgb="FF000000"/>
      </patternFill>
    </fill>
    <fill>
      <patternFill patternType="solid">
        <fgColor rgb="FFF87B6E"/>
        <bgColor rgb="FF000000"/>
      </patternFill>
    </fill>
    <fill>
      <patternFill patternType="solid">
        <fgColor rgb="FFF8786D"/>
        <bgColor rgb="FF000000"/>
      </patternFill>
    </fill>
    <fill>
      <patternFill patternType="solid">
        <fgColor rgb="FFF8786E"/>
        <bgColor rgb="FF000000"/>
      </patternFill>
    </fill>
    <fill>
      <patternFill patternType="solid">
        <fgColor rgb="FFE6E482"/>
        <bgColor rgb="FF000000"/>
      </patternFill>
    </fill>
    <fill>
      <patternFill patternType="solid">
        <fgColor rgb="FFFA8971"/>
        <bgColor rgb="FF000000"/>
      </patternFill>
    </fill>
    <fill>
      <patternFill patternType="solid">
        <fgColor rgb="FFFB9373"/>
        <bgColor rgb="FF000000"/>
      </patternFill>
    </fill>
    <fill>
      <patternFill patternType="solid">
        <fgColor rgb="FFFA8871"/>
        <bgColor rgb="FF000000"/>
      </patternFill>
    </fill>
    <fill>
      <patternFill patternType="solid">
        <fgColor rgb="FFFB9874"/>
        <bgColor rgb="FF000000"/>
      </patternFill>
    </fill>
    <fill>
      <patternFill patternType="solid">
        <fgColor rgb="FFF96B6C"/>
        <bgColor rgb="FF000000"/>
      </patternFill>
    </fill>
    <fill>
      <patternFill patternType="solid">
        <fgColor rgb="FFF96D6C"/>
        <bgColor rgb="FF000000"/>
      </patternFill>
    </fill>
    <fill>
      <patternFill patternType="solid">
        <fgColor rgb="FFF96E6C"/>
        <bgColor rgb="FF000000"/>
      </patternFill>
    </fill>
    <fill>
      <patternFill patternType="solid">
        <fgColor rgb="FFF96F6D"/>
        <bgColor rgb="FF000000"/>
      </patternFill>
    </fill>
    <fill>
      <patternFill patternType="solid">
        <fgColor rgb="FFF9706D"/>
        <bgColor rgb="FF000000"/>
      </patternFill>
    </fill>
    <fill>
      <patternFill patternType="solid">
        <fgColor rgb="FFF9746E"/>
        <bgColor rgb="FF000000"/>
      </patternFill>
    </fill>
    <fill>
      <patternFill patternType="solid">
        <fgColor rgb="FFF96C6C"/>
        <bgColor rgb="FF000000"/>
      </patternFill>
    </fill>
    <fill>
      <patternFill patternType="solid">
        <fgColor rgb="FFFA7C6F"/>
        <bgColor rgb="FF000000"/>
      </patternFill>
    </fill>
    <fill>
      <patternFill patternType="solid">
        <fgColor rgb="FFFA7D6F"/>
        <bgColor rgb="FF000000"/>
      </patternFill>
    </fill>
    <fill>
      <patternFill patternType="solid">
        <fgColor rgb="FFFA7E6F"/>
        <bgColor rgb="FF000000"/>
      </patternFill>
    </fill>
    <fill>
      <patternFill patternType="solid">
        <fgColor rgb="FFFA8471"/>
        <bgColor rgb="FF000000"/>
      </patternFill>
    </fill>
    <fill>
      <patternFill patternType="solid">
        <fgColor rgb="FF94CC7D"/>
        <bgColor rgb="FF000000"/>
      </patternFill>
    </fill>
    <fill>
      <patternFill patternType="solid">
        <fgColor rgb="FF80C67C"/>
        <bgColor rgb="FF000000"/>
      </patternFill>
    </fill>
    <fill>
      <patternFill patternType="solid">
        <fgColor rgb="FFFBEA83"/>
        <bgColor rgb="FF000000"/>
      </patternFill>
    </fill>
    <fill>
      <patternFill patternType="solid">
        <fgColor rgb="FFF9E984"/>
        <bgColor rgb="FF000000"/>
      </patternFill>
    </fill>
    <fill>
      <patternFill patternType="solid">
        <fgColor rgb="FF6EC17C"/>
        <bgColor rgb="FF000000"/>
      </patternFill>
    </fill>
    <fill>
      <patternFill patternType="solid">
        <fgColor rgb="FF7FC67D"/>
        <bgColor rgb="FF000000"/>
      </patternFill>
    </fill>
    <fill>
      <patternFill patternType="solid">
        <fgColor rgb="FF95CD7E"/>
        <bgColor rgb="FF000000"/>
      </patternFill>
    </fill>
    <fill>
      <patternFill patternType="solid">
        <fgColor rgb="FF9BCE7F"/>
        <bgColor rgb="FF000000"/>
      </patternFill>
    </fill>
    <fill>
      <patternFill patternType="solid">
        <fgColor rgb="FFA6D27F"/>
        <bgColor rgb="FF000000"/>
      </patternFill>
    </fill>
    <fill>
      <patternFill patternType="solid">
        <fgColor rgb="FF84C87D"/>
        <bgColor rgb="FF000000"/>
      </patternFill>
    </fill>
    <fill>
      <patternFill patternType="solid">
        <fgColor rgb="FFAAD380"/>
        <bgColor rgb="FF000000"/>
      </patternFill>
    </fill>
    <fill>
      <patternFill patternType="solid">
        <fgColor rgb="FF7CC67D"/>
        <bgColor rgb="FF000000"/>
      </patternFill>
    </fill>
    <fill>
      <patternFill patternType="solid">
        <fgColor rgb="FFB2D580"/>
        <bgColor rgb="FF000000"/>
      </patternFill>
    </fill>
    <fill>
      <patternFill patternType="solid">
        <fgColor rgb="FF72C37C"/>
        <bgColor rgb="FF000000"/>
      </patternFill>
    </fill>
    <fill>
      <patternFill patternType="solid">
        <fgColor rgb="FF7EC67D"/>
        <bgColor rgb="FF000000"/>
      </patternFill>
    </fill>
    <fill>
      <patternFill patternType="solid">
        <fgColor rgb="FF93CC7E"/>
        <bgColor rgb="FF000000"/>
      </patternFill>
    </fill>
    <fill>
      <patternFill patternType="solid">
        <fgColor rgb="FF99CE7F"/>
        <bgColor rgb="FF000000"/>
      </patternFill>
    </fill>
    <fill>
      <patternFill patternType="solid">
        <fgColor rgb="FFA5D17F"/>
        <bgColor rgb="FF000000"/>
      </patternFill>
    </fill>
    <fill>
      <patternFill patternType="solid">
        <fgColor rgb="FFB7D680"/>
        <bgColor rgb="FF000000"/>
      </patternFill>
    </fill>
    <fill>
      <patternFill patternType="solid">
        <fgColor rgb="FFBAD881"/>
        <bgColor rgb="FF000000"/>
      </patternFill>
    </fill>
    <fill>
      <patternFill patternType="solid">
        <fgColor rgb="FF9ACE7F"/>
        <bgColor rgb="FF000000"/>
      </patternFill>
    </fill>
    <fill>
      <patternFill patternType="solid">
        <fgColor rgb="FF9BCF7F"/>
        <bgColor rgb="FF000000"/>
      </patternFill>
    </fill>
    <fill>
      <patternFill patternType="solid">
        <fgColor rgb="FFA3D17F"/>
        <bgColor rgb="FF000000"/>
      </patternFill>
    </fill>
    <fill>
      <patternFill patternType="solid">
        <fgColor rgb="FFB1D580"/>
        <bgColor rgb="FF000000"/>
      </patternFill>
    </fill>
    <fill>
      <patternFill patternType="solid">
        <fgColor rgb="FFC1D981"/>
        <bgColor rgb="FF000000"/>
      </patternFill>
    </fill>
    <fill>
      <patternFill patternType="solid">
        <fgColor rgb="FFF97D6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14">
    <xf numFmtId="0" fontId="0" fillId="0" borderId="0" xfId="0"/>
    <xf numFmtId="9" fontId="0" fillId="0" borderId="0" xfId="4" applyFont="1"/>
    <xf numFmtId="164" fontId="0" fillId="0" borderId="0" xfId="0" applyNumberFormat="1"/>
    <xf numFmtId="164" fontId="2" fillId="0" borderId="0" xfId="0" applyNumberFormat="1" applyFont="1"/>
    <xf numFmtId="165" fontId="0" fillId="0" borderId="0" xfId="5" applyNumberFormat="1" applyFont="1"/>
    <xf numFmtId="0" fontId="2" fillId="0" borderId="0" xfId="0" applyFont="1" applyAlignment="1">
      <alignment vertical="center"/>
    </xf>
    <xf numFmtId="165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66" fontId="0" fillId="0" borderId="0" xfId="0" applyNumberFormat="1"/>
    <xf numFmtId="0" fontId="2" fillId="0" borderId="0" xfId="0" applyFont="1" applyAlignment="1">
      <alignment horizontal="right"/>
    </xf>
    <xf numFmtId="9" fontId="2" fillId="0" borderId="0" xfId="4" applyFont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1" fillId="0" borderId="3" xfId="1" applyBorder="1"/>
    <xf numFmtId="0" fontId="2" fillId="0" borderId="5" xfId="1" applyFont="1" applyBorder="1"/>
    <xf numFmtId="168" fontId="0" fillId="0" borderId="0" xfId="4" applyNumberFormat="1" applyFont="1"/>
    <xf numFmtId="165" fontId="2" fillId="0" borderId="0" xfId="0" applyNumberFormat="1" applyFont="1"/>
    <xf numFmtId="164" fontId="5" fillId="0" borderId="0" xfId="0" applyNumberFormat="1" applyFont="1"/>
    <xf numFmtId="9" fontId="0" fillId="0" borderId="0" xfId="0" applyNumberFormat="1"/>
    <xf numFmtId="168" fontId="0" fillId="0" borderId="0" xfId="0" applyNumberFormat="1"/>
    <xf numFmtId="9" fontId="2" fillId="0" borderId="0" xfId="0" applyNumberFormat="1" applyFont="1"/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9" fontId="0" fillId="0" borderId="0" xfId="4" applyFont="1" applyBorder="1"/>
    <xf numFmtId="9" fontId="2" fillId="0" borderId="1" xfId="4" applyFont="1" applyBorder="1"/>
    <xf numFmtId="165" fontId="2" fillId="0" borderId="0" xfId="5" applyNumberFormat="1" applyFont="1"/>
    <xf numFmtId="44" fontId="0" fillId="0" borderId="0" xfId="0" applyNumberFormat="1"/>
    <xf numFmtId="0" fontId="4" fillId="0" borderId="9" xfId="0" applyFont="1" applyBorder="1" applyAlignment="1">
      <alignment horizontal="center" vertical="center" wrapText="1"/>
    </xf>
    <xf numFmtId="10" fontId="0" fillId="0" borderId="0" xfId="4" applyNumberFormat="1" applyFont="1" applyFill="1" applyAlignment="1">
      <alignment horizontal="center"/>
    </xf>
    <xf numFmtId="164" fontId="2" fillId="0" borderId="0" xfId="1" applyNumberFormat="1" applyFont="1"/>
    <xf numFmtId="165" fontId="0" fillId="0" borderId="0" xfId="5" applyNumberFormat="1" applyFont="1" applyBorder="1"/>
    <xf numFmtId="9" fontId="0" fillId="0" borderId="4" xfId="4" applyFont="1" applyBorder="1"/>
    <xf numFmtId="164" fontId="2" fillId="0" borderId="1" xfId="1" applyNumberFormat="1" applyFont="1" applyBorder="1"/>
    <xf numFmtId="9" fontId="2" fillId="0" borderId="0" xfId="4" applyFont="1" applyBorder="1"/>
    <xf numFmtId="169" fontId="0" fillId="0" borderId="0" xfId="0" applyNumberFormat="1"/>
    <xf numFmtId="0" fontId="3" fillId="0" borderId="0" xfId="0" applyFont="1" applyAlignment="1">
      <alignment vertical="center" textRotation="45" wrapText="1"/>
    </xf>
    <xf numFmtId="44" fontId="6" fillId="0" borderId="0" xfId="0" applyNumberFormat="1" applyFont="1"/>
    <xf numFmtId="17" fontId="0" fillId="0" borderId="0" xfId="0" quotePrefix="1" applyNumberFormat="1"/>
    <xf numFmtId="167" fontId="0" fillId="0" borderId="0" xfId="6" applyNumberFormat="1" applyFont="1" applyAlignment="1">
      <alignment horizontal="center"/>
    </xf>
    <xf numFmtId="9" fontId="0" fillId="0" borderId="0" xfId="4" applyFont="1" applyAlignment="1">
      <alignment horizontal="center"/>
    </xf>
    <xf numFmtId="168" fontId="0" fillId="0" borderId="0" xfId="4" applyNumberFormat="1" applyFont="1" applyAlignment="1">
      <alignment horizontal="center"/>
    </xf>
    <xf numFmtId="9" fontId="2" fillId="0" borderId="6" xfId="4" applyFont="1" applyBorder="1"/>
    <xf numFmtId="168" fontId="0" fillId="2" borderId="11" xfId="0" applyNumberFormat="1" applyFill="1" applyBorder="1"/>
    <xf numFmtId="9" fontId="0" fillId="2" borderId="10" xfId="0" applyNumberFormat="1" applyFill="1" applyBorder="1"/>
    <xf numFmtId="0" fontId="10" fillId="0" borderId="0" xfId="0" applyFont="1"/>
    <xf numFmtId="0" fontId="11" fillId="0" borderId="0" xfId="0" applyFont="1"/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12" fillId="5" borderId="0" xfId="0" applyFont="1" applyFill="1"/>
    <xf numFmtId="9" fontId="0" fillId="0" borderId="1" xfId="4" applyFont="1" applyBorder="1"/>
    <xf numFmtId="9" fontId="0" fillId="0" borderId="6" xfId="4" applyFont="1" applyBorder="1"/>
    <xf numFmtId="0" fontId="13" fillId="5" borderId="0" xfId="0" applyFont="1" applyFill="1"/>
    <xf numFmtId="164" fontId="2" fillId="0" borderId="1" xfId="0" applyNumberFormat="1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9" fontId="0" fillId="0" borderId="12" xfId="4" applyFont="1" applyBorder="1"/>
    <xf numFmtId="9" fontId="0" fillId="0" borderId="13" xfId="4" applyFont="1" applyBorder="1"/>
    <xf numFmtId="9" fontId="2" fillId="0" borderId="4" xfId="4" applyFont="1" applyBorder="1"/>
    <xf numFmtId="168" fontId="0" fillId="0" borderId="0" xfId="4" applyNumberFormat="1" applyFont="1" applyBorder="1"/>
    <xf numFmtId="168" fontId="0" fillId="0" borderId="13" xfId="4" applyNumberFormat="1" applyFont="1" applyBorder="1"/>
    <xf numFmtId="168" fontId="0" fillId="0" borderId="4" xfId="4" applyNumberFormat="1" applyFont="1" applyBorder="1"/>
    <xf numFmtId="9" fontId="0" fillId="0" borderId="0" xfId="0" applyNumberFormat="1" applyAlignment="1">
      <alignment horizontal="center"/>
    </xf>
    <xf numFmtId="10" fontId="0" fillId="0" borderId="0" xfId="4" applyNumberFormat="1" applyFont="1" applyBorder="1"/>
    <xf numFmtId="10" fontId="0" fillId="2" borderId="11" xfId="0" applyNumberFormat="1" applyFill="1" applyBorder="1"/>
    <xf numFmtId="10" fontId="0" fillId="0" borderId="0" xfId="0" applyNumberFormat="1"/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/>
    </xf>
    <xf numFmtId="9" fontId="0" fillId="6" borderId="0" xfId="0" applyNumberFormat="1" applyFill="1" applyAlignment="1">
      <alignment horizontal="center"/>
    </xf>
    <xf numFmtId="0" fontId="0" fillId="0" borderId="0" xfId="0" applyAlignment="1">
      <alignment horizontal="right" indent="1"/>
    </xf>
    <xf numFmtId="10" fontId="0" fillId="0" borderId="3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9" fontId="0" fillId="0" borderId="3" xfId="4" applyFont="1" applyBorder="1" applyAlignment="1">
      <alignment horizontal="center"/>
    </xf>
    <xf numFmtId="9" fontId="0" fillId="0" borderId="4" xfId="4" applyFont="1" applyBorder="1" applyAlignment="1">
      <alignment horizontal="center"/>
    </xf>
    <xf numFmtId="9" fontId="0" fillId="0" borderId="5" xfId="4" applyFont="1" applyBorder="1" applyAlignment="1">
      <alignment horizontal="center"/>
    </xf>
    <xf numFmtId="9" fontId="0" fillId="0" borderId="1" xfId="4" applyFont="1" applyBorder="1" applyAlignment="1">
      <alignment horizontal="center"/>
    </xf>
    <xf numFmtId="9" fontId="0" fillId="0" borderId="6" xfId="4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0" fontId="14" fillId="0" borderId="0" xfId="0" applyFont="1" applyAlignment="1">
      <alignment horizontal="center" vertical="center" wrapText="1" readingOrder="1"/>
    </xf>
    <xf numFmtId="0" fontId="0" fillId="0" borderId="0" xfId="0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3" fontId="0" fillId="2" borderId="10" xfId="6" applyFont="1" applyFill="1" applyBorder="1"/>
    <xf numFmtId="0" fontId="16" fillId="8" borderId="0" xfId="0" applyFont="1" applyFill="1"/>
    <xf numFmtId="0" fontId="0" fillId="6" borderId="2" xfId="0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9" fontId="17" fillId="9" borderId="0" xfId="0" applyNumberFormat="1" applyFont="1" applyFill="1"/>
    <xf numFmtId="0" fontId="0" fillId="6" borderId="7" xfId="0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0" fontId="2" fillId="10" borderId="2" xfId="0" applyFont="1" applyFill="1" applyBorder="1" applyAlignment="1">
      <alignment horizontal="center" vertical="center" wrapText="1"/>
    </xf>
    <xf numFmtId="9" fontId="0" fillId="10" borderId="0" xfId="4" applyFont="1" applyFill="1"/>
    <xf numFmtId="9" fontId="2" fillId="10" borderId="0" xfId="4" applyFont="1" applyFill="1"/>
    <xf numFmtId="168" fontId="5" fillId="0" borderId="0" xfId="4" applyNumberFormat="1" applyFon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8" fontId="14" fillId="0" borderId="0" xfId="0" applyNumberFormat="1" applyFont="1"/>
    <xf numFmtId="38" fontId="4" fillId="0" borderId="1" xfId="0" applyNumberFormat="1" applyFont="1" applyBorder="1"/>
    <xf numFmtId="0" fontId="4" fillId="10" borderId="9" xfId="0" applyFont="1" applyFill="1" applyBorder="1" applyAlignment="1">
      <alignment horizontal="center" vertical="center" wrapText="1"/>
    </xf>
    <xf numFmtId="165" fontId="0" fillId="10" borderId="0" xfId="5" applyNumberFormat="1" applyFont="1" applyFill="1"/>
    <xf numFmtId="168" fontId="0" fillId="10" borderId="0" xfId="4" applyNumberFormat="1" applyFont="1" applyFill="1"/>
    <xf numFmtId="0" fontId="4" fillId="6" borderId="9" xfId="0" applyFont="1" applyFill="1" applyBorder="1" applyAlignment="1">
      <alignment horizontal="center" vertical="center" wrapText="1"/>
    </xf>
    <xf numFmtId="164" fontId="0" fillId="6" borderId="0" xfId="4" applyNumberFormat="1" applyFont="1" applyFill="1"/>
    <xf numFmtId="168" fontId="0" fillId="6" borderId="0" xfId="4" applyNumberFormat="1" applyFont="1" applyFill="1"/>
    <xf numFmtId="0" fontId="4" fillId="11" borderId="9" xfId="0" applyFont="1" applyFill="1" applyBorder="1" applyAlignment="1">
      <alignment horizontal="center" vertical="center" wrapText="1"/>
    </xf>
    <xf numFmtId="165" fontId="0" fillId="11" borderId="0" xfId="5" applyNumberFormat="1" applyFont="1" applyFill="1"/>
    <xf numFmtId="168" fontId="0" fillId="11" borderId="0" xfId="4" applyNumberFormat="1" applyFont="1" applyFill="1"/>
    <xf numFmtId="0" fontId="4" fillId="12" borderId="9" xfId="0" applyFont="1" applyFill="1" applyBorder="1" applyAlignment="1">
      <alignment horizontal="center" vertical="center" wrapText="1"/>
    </xf>
    <xf numFmtId="168" fontId="0" fillId="12" borderId="0" xfId="4" applyNumberFormat="1" applyFont="1" applyFill="1"/>
    <xf numFmtId="164" fontId="0" fillId="12" borderId="0" xfId="4" applyNumberFormat="1" applyFont="1" applyFill="1"/>
    <xf numFmtId="164" fontId="0" fillId="11" borderId="0" xfId="5" applyNumberFormat="1" applyFont="1" applyFill="1"/>
    <xf numFmtId="164" fontId="0" fillId="10" borderId="0" xfId="5" applyNumberFormat="1" applyFont="1" applyFill="1"/>
    <xf numFmtId="164" fontId="0" fillId="6" borderId="0" xfId="5" applyNumberFormat="1" applyFont="1" applyFill="1"/>
    <xf numFmtId="168" fontId="0" fillId="0" borderId="0" xfId="4" applyNumberFormat="1" applyFont="1" applyFill="1"/>
    <xf numFmtId="164" fontId="0" fillId="0" borderId="0" xfId="4" applyNumberFormat="1" applyFont="1" applyFill="1"/>
    <xf numFmtId="0" fontId="4" fillId="0" borderId="15" xfId="0" applyFont="1" applyBorder="1" applyAlignment="1">
      <alignment horizontal="center" vertical="center" wrapText="1"/>
    </xf>
    <xf numFmtId="10" fontId="0" fillId="0" borderId="0" xfId="4" applyNumberFormat="1" applyFont="1" applyFill="1" applyBorder="1" applyAlignment="1">
      <alignment horizontal="center"/>
    </xf>
    <xf numFmtId="0" fontId="0" fillId="0" borderId="1" xfId="0" applyBorder="1"/>
    <xf numFmtId="164" fontId="0" fillId="10" borderId="0" xfId="0" applyNumberFormat="1" applyFill="1"/>
    <xf numFmtId="0" fontId="4" fillId="10" borderId="16" xfId="0" applyFont="1" applyFill="1" applyBorder="1" applyAlignment="1">
      <alignment horizontal="center" vertical="center" wrapText="1"/>
    </xf>
    <xf numFmtId="164" fontId="0" fillId="10" borderId="4" xfId="0" applyNumberFormat="1" applyFill="1" applyBorder="1"/>
    <xf numFmtId="164" fontId="2" fillId="10" borderId="6" xfId="0" applyNumberFormat="1" applyFont="1" applyFill="1" applyBorder="1"/>
    <xf numFmtId="164" fontId="2" fillId="10" borderId="1" xfId="0" applyNumberFormat="1" applyFont="1" applyFill="1" applyBorder="1"/>
    <xf numFmtId="9" fontId="0" fillId="0" borderId="0" xfId="4" applyFont="1" applyFill="1" applyBorder="1" applyAlignment="1">
      <alignment horizontal="center"/>
    </xf>
    <xf numFmtId="9" fontId="2" fillId="0" borderId="1" xfId="4" applyFont="1" applyBorder="1" applyAlignment="1">
      <alignment horizontal="center"/>
    </xf>
    <xf numFmtId="168" fontId="0" fillId="0" borderId="0" xfId="4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 wrapText="1"/>
    </xf>
    <xf numFmtId="164" fontId="0" fillId="0" borderId="0" xfId="5" applyNumberFormat="1" applyFont="1" applyBorder="1"/>
    <xf numFmtId="0" fontId="0" fillId="6" borderId="2" xfId="0" applyFill="1" applyBorder="1" applyAlignment="1">
      <alignment horizontal="center"/>
    </xf>
    <xf numFmtId="168" fontId="2" fillId="0" borderId="6" xfId="4" applyNumberFormat="1" applyFont="1" applyBorder="1"/>
    <xf numFmtId="10" fontId="2" fillId="0" borderId="1" xfId="4" applyNumberFormat="1" applyFont="1" applyBorder="1"/>
    <xf numFmtId="0" fontId="0" fillId="6" borderId="1" xfId="0" applyFill="1" applyBorder="1" applyAlignment="1">
      <alignment horizontal="center" wrapText="1"/>
    </xf>
    <xf numFmtId="168" fontId="0" fillId="0" borderId="1" xfId="0" applyNumberFormat="1" applyBorder="1" applyAlignment="1">
      <alignment horizontal="center"/>
    </xf>
    <xf numFmtId="168" fontId="2" fillId="12" borderId="0" xfId="4" applyNumberFormat="1" applyFont="1" applyFill="1"/>
    <xf numFmtId="40" fontId="14" fillId="0" borderId="0" xfId="0" applyNumberFormat="1" applyFont="1"/>
    <xf numFmtId="0" fontId="4" fillId="0" borderId="16" xfId="0" applyFont="1" applyBorder="1" applyAlignment="1">
      <alignment horizontal="center" vertical="center" wrapText="1"/>
    </xf>
    <xf numFmtId="168" fontId="0" fillId="0" borderId="0" xfId="4" applyNumberFormat="1" applyFont="1" applyFill="1" applyBorder="1"/>
    <xf numFmtId="164" fontId="0" fillId="0" borderId="4" xfId="4" applyNumberFormat="1" applyFont="1" applyFill="1" applyBorder="1"/>
    <xf numFmtId="168" fontId="2" fillId="0" borderId="1" xfId="4" applyNumberFormat="1" applyFont="1" applyFill="1" applyBorder="1"/>
    <xf numFmtId="164" fontId="2" fillId="0" borderId="6" xfId="4" applyNumberFormat="1" applyFont="1" applyFill="1" applyBorder="1"/>
    <xf numFmtId="0" fontId="4" fillId="3" borderId="16" xfId="0" applyFont="1" applyFill="1" applyBorder="1" applyAlignment="1">
      <alignment horizontal="center" vertical="center" wrapText="1"/>
    </xf>
    <xf numFmtId="164" fontId="0" fillId="3" borderId="4" xfId="4" applyNumberFormat="1" applyFont="1" applyFill="1" applyBorder="1"/>
    <xf numFmtId="164" fontId="2" fillId="3" borderId="6" xfId="4" applyNumberFormat="1" applyFont="1" applyFill="1" applyBorder="1"/>
    <xf numFmtId="0" fontId="3" fillId="0" borderId="0" xfId="0" applyFont="1" applyAlignment="1">
      <alignment horizontal="center" vertical="center" textRotation="45" wrapText="1"/>
    </xf>
    <xf numFmtId="164" fontId="14" fillId="0" borderId="0" xfId="0" applyNumberFormat="1" applyFont="1"/>
    <xf numFmtId="164" fontId="4" fillId="0" borderId="1" xfId="0" applyNumberFormat="1" applyFont="1" applyBorder="1"/>
    <xf numFmtId="164" fontId="18" fillId="0" borderId="0" xfId="0" applyNumberFormat="1" applyFont="1"/>
    <xf numFmtId="10" fontId="19" fillId="0" borderId="0" xfId="0" applyNumberFormat="1" applyFont="1"/>
    <xf numFmtId="0" fontId="19" fillId="0" borderId="0" xfId="0" applyFont="1"/>
    <xf numFmtId="16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center"/>
    </xf>
    <xf numFmtId="10" fontId="6" fillId="0" borderId="4" xfId="0" applyNumberFormat="1" applyFont="1" applyBorder="1" applyAlignment="1">
      <alignment horizontal="center"/>
    </xf>
    <xf numFmtId="10" fontId="6" fillId="0" borderId="3" xfId="0" applyNumberFormat="1" applyFont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10" fontId="6" fillId="0" borderId="6" xfId="0" applyNumberFormat="1" applyFont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10" fontId="6" fillId="0" borderId="5" xfId="0" applyNumberFormat="1" applyFont="1" applyBorder="1" applyAlignment="1">
      <alignment horizontal="center"/>
    </xf>
    <xf numFmtId="164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wrapText="1"/>
    </xf>
    <xf numFmtId="10" fontId="6" fillId="0" borderId="12" xfId="0" applyNumberFormat="1" applyFont="1" applyBorder="1" applyAlignment="1">
      <alignment horizontal="center"/>
    </xf>
    <xf numFmtId="10" fontId="6" fillId="0" borderId="14" xfId="0" applyNumberFormat="1" applyFont="1" applyBorder="1" applyAlignment="1">
      <alignment horizontal="center"/>
    </xf>
    <xf numFmtId="10" fontId="6" fillId="0" borderId="13" xfId="0" applyNumberFormat="1" applyFont="1" applyBorder="1" applyAlignment="1">
      <alignment horizontal="center"/>
    </xf>
    <xf numFmtId="10" fontId="6" fillId="0" borderId="0" xfId="0" applyNumberFormat="1" applyFont="1" applyAlignment="1">
      <alignment horizontal="center"/>
    </xf>
    <xf numFmtId="10" fontId="6" fillId="0" borderId="1" xfId="0" applyNumberFormat="1" applyFont="1" applyBorder="1" applyAlignment="1">
      <alignment horizontal="center"/>
    </xf>
    <xf numFmtId="9" fontId="6" fillId="0" borderId="0" xfId="4" applyFont="1" applyBorder="1" applyAlignment="1">
      <alignment horizontal="center"/>
    </xf>
    <xf numFmtId="9" fontId="6" fillId="0" borderId="4" xfId="4" applyFont="1" applyBorder="1" applyAlignment="1">
      <alignment horizontal="center"/>
    </xf>
    <xf numFmtId="9" fontId="6" fillId="0" borderId="3" xfId="4" applyFont="1" applyBorder="1" applyAlignment="1">
      <alignment horizontal="center"/>
    </xf>
    <xf numFmtId="9" fontId="6" fillId="0" borderId="1" xfId="4" applyFont="1" applyBorder="1" applyAlignment="1">
      <alignment horizontal="center"/>
    </xf>
    <xf numFmtId="9" fontId="6" fillId="0" borderId="6" xfId="4" applyFont="1" applyBorder="1" applyAlignment="1">
      <alignment horizontal="center"/>
    </xf>
    <xf numFmtId="9" fontId="6" fillId="0" borderId="5" xfId="4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5" fontId="2" fillId="11" borderId="0" xfId="5" applyNumberFormat="1" applyFont="1" applyFill="1"/>
    <xf numFmtId="168" fontId="2" fillId="11" borderId="0" xfId="4" applyNumberFormat="1" applyFont="1" applyFill="1"/>
    <xf numFmtId="164" fontId="2" fillId="11" borderId="0" xfId="5" applyNumberFormat="1" applyFont="1" applyFill="1"/>
    <xf numFmtId="165" fontId="2" fillId="10" borderId="0" xfId="5" applyNumberFormat="1" applyFont="1" applyFill="1"/>
    <xf numFmtId="168" fontId="2" fillId="10" borderId="0" xfId="4" applyNumberFormat="1" applyFont="1" applyFill="1"/>
    <xf numFmtId="164" fontId="2" fillId="10" borderId="0" xfId="5" applyNumberFormat="1" applyFont="1" applyFill="1"/>
    <xf numFmtId="164" fontId="2" fillId="6" borderId="0" xfId="4" applyNumberFormat="1" applyFont="1" applyFill="1"/>
    <xf numFmtId="168" fontId="2" fillId="6" borderId="0" xfId="4" applyNumberFormat="1" applyFont="1" applyFill="1"/>
    <xf numFmtId="164" fontId="2" fillId="6" borderId="0" xfId="5" applyNumberFormat="1" applyFont="1" applyFill="1"/>
    <xf numFmtId="0" fontId="4" fillId="13" borderId="9" xfId="0" applyFont="1" applyFill="1" applyBorder="1" applyAlignment="1">
      <alignment horizontal="center" vertical="center" wrapText="1"/>
    </xf>
    <xf numFmtId="164" fontId="0" fillId="13" borderId="0" xfId="4" applyNumberFormat="1" applyFont="1" applyFill="1"/>
    <xf numFmtId="168" fontId="0" fillId="13" borderId="0" xfId="4" applyNumberFormat="1" applyFont="1" applyFill="1"/>
    <xf numFmtId="164" fontId="0" fillId="13" borderId="0" xfId="5" applyNumberFormat="1" applyFont="1" applyFill="1"/>
    <xf numFmtId="164" fontId="2" fillId="13" borderId="0" xfId="4" applyNumberFormat="1" applyFont="1" applyFill="1"/>
    <xf numFmtId="168" fontId="2" fillId="13" borderId="0" xfId="4" applyNumberFormat="1" applyFont="1" applyFill="1"/>
    <xf numFmtId="164" fontId="2" fillId="13" borderId="0" xfId="5" applyNumberFormat="1" applyFont="1" applyFill="1"/>
    <xf numFmtId="164" fontId="2" fillId="0" borderId="0" xfId="5" applyNumberFormat="1" applyFont="1" applyFill="1"/>
    <xf numFmtId="43" fontId="0" fillId="0" borderId="0" xfId="6" applyFont="1" applyFill="1" applyBorder="1"/>
    <xf numFmtId="168" fontId="2" fillId="0" borderId="0" xfId="4" applyNumberFormat="1" applyFont="1" applyFill="1"/>
    <xf numFmtId="164" fontId="2" fillId="0" borderId="0" xfId="4" applyNumberFormat="1" applyFont="1" applyFill="1"/>
    <xf numFmtId="9" fontId="2" fillId="12" borderId="0" xfId="0" applyNumberFormat="1" applyFont="1" applyFill="1"/>
    <xf numFmtId="165" fontId="2" fillId="12" borderId="0" xfId="5" applyNumberFormat="1" applyFont="1" applyFill="1"/>
    <xf numFmtId="9" fontId="2" fillId="12" borderId="0" xfId="4" applyFont="1" applyFill="1"/>
    <xf numFmtId="164" fontId="2" fillId="12" borderId="0" xfId="5" applyNumberFormat="1" applyFont="1" applyFill="1"/>
    <xf numFmtId="0" fontId="8" fillId="14" borderId="0" xfId="0" applyFont="1" applyFill="1"/>
    <xf numFmtId="0" fontId="8" fillId="14" borderId="0" xfId="0" applyFont="1" applyFill="1" applyAlignment="1">
      <alignment horizontal="center"/>
    </xf>
    <xf numFmtId="0" fontId="12" fillId="14" borderId="0" xfId="0" applyFont="1" applyFill="1"/>
    <xf numFmtId="0" fontId="20" fillId="14" borderId="0" xfId="0" applyFont="1" applyFill="1"/>
    <xf numFmtId="0" fontId="12" fillId="0" borderId="0" xfId="0" applyFont="1"/>
    <xf numFmtId="0" fontId="0" fillId="0" borderId="0" xfId="0" applyAlignment="1">
      <alignment horizontal="center" vertical="center"/>
    </xf>
    <xf numFmtId="164" fontId="0" fillId="0" borderId="0" xfId="5" applyNumberFormat="1" applyFont="1" applyFill="1"/>
    <xf numFmtId="10" fontId="6" fillId="0" borderId="0" xfId="0" applyNumberFormat="1" applyFont="1"/>
    <xf numFmtId="0" fontId="2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10" borderId="0" xfId="0" applyFill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13" borderId="0" xfId="0" applyFill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textRotation="45" wrapText="1"/>
    </xf>
    <xf numFmtId="0" fontId="8" fillId="4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textRotation="45" wrapText="1"/>
    </xf>
    <xf numFmtId="0" fontId="3" fillId="0" borderId="4" xfId="0" applyFont="1" applyBorder="1" applyAlignment="1">
      <alignment horizontal="center" vertical="center" textRotation="45" wrapText="1"/>
    </xf>
    <xf numFmtId="0" fontId="0" fillId="0" borderId="0" xfId="0" applyAlignment="1">
      <alignment horizontal="center"/>
    </xf>
    <xf numFmtId="0" fontId="21" fillId="0" borderId="0" xfId="0" applyFont="1"/>
    <xf numFmtId="168" fontId="21" fillId="0" borderId="0" xfId="0" applyNumberFormat="1" applyFont="1"/>
    <xf numFmtId="0" fontId="22" fillId="8" borderId="0" xfId="0" applyFont="1" applyFill="1"/>
    <xf numFmtId="0" fontId="9" fillId="0" borderId="0" xfId="0" applyFont="1"/>
    <xf numFmtId="0" fontId="23" fillId="0" borderId="8" xfId="0" applyFont="1" applyBorder="1" applyAlignment="1">
      <alignment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3" xfId="0" applyFont="1" applyBorder="1"/>
    <xf numFmtId="164" fontId="21" fillId="0" borderId="0" xfId="0" applyNumberFormat="1" applyFont="1"/>
    <xf numFmtId="9" fontId="21" fillId="15" borderId="0" xfId="0" applyNumberFormat="1" applyFont="1" applyFill="1"/>
    <xf numFmtId="9" fontId="21" fillId="16" borderId="0" xfId="0" applyNumberFormat="1" applyFont="1" applyFill="1"/>
    <xf numFmtId="9" fontId="21" fillId="17" borderId="0" xfId="0" applyNumberFormat="1" applyFont="1" applyFill="1"/>
    <xf numFmtId="9" fontId="21" fillId="18" borderId="0" xfId="0" applyNumberFormat="1" applyFont="1" applyFill="1"/>
    <xf numFmtId="9" fontId="21" fillId="19" borderId="0" xfId="0" applyNumberFormat="1" applyFont="1" applyFill="1"/>
    <xf numFmtId="9" fontId="21" fillId="20" borderId="0" xfId="0" applyNumberFormat="1" applyFont="1" applyFill="1"/>
    <xf numFmtId="9" fontId="21" fillId="21" borderId="0" xfId="0" applyNumberFormat="1" applyFont="1" applyFill="1"/>
    <xf numFmtId="9" fontId="21" fillId="22" borderId="0" xfId="0" applyNumberFormat="1" applyFont="1" applyFill="1"/>
    <xf numFmtId="9" fontId="21" fillId="23" borderId="0" xfId="0" applyNumberFormat="1" applyFont="1" applyFill="1"/>
    <xf numFmtId="9" fontId="21" fillId="24" borderId="0" xfId="0" applyNumberFormat="1" applyFont="1" applyFill="1"/>
    <xf numFmtId="9" fontId="21" fillId="0" borderId="12" xfId="0" applyNumberFormat="1" applyFont="1" applyBorder="1"/>
    <xf numFmtId="168" fontId="21" fillId="0" borderId="13" xfId="0" applyNumberFormat="1" applyFont="1" applyBorder="1"/>
    <xf numFmtId="9" fontId="21" fillId="0" borderId="0" xfId="0" applyNumberFormat="1" applyFont="1"/>
    <xf numFmtId="9" fontId="21" fillId="25" borderId="0" xfId="0" applyNumberFormat="1" applyFont="1" applyFill="1"/>
    <xf numFmtId="9" fontId="21" fillId="26" borderId="0" xfId="0" applyNumberFormat="1" applyFont="1" applyFill="1"/>
    <xf numFmtId="9" fontId="21" fillId="27" borderId="0" xfId="0" applyNumberFormat="1" applyFont="1" applyFill="1"/>
    <xf numFmtId="9" fontId="21" fillId="28" borderId="0" xfId="0" applyNumberFormat="1" applyFont="1" applyFill="1"/>
    <xf numFmtId="9" fontId="21" fillId="29" borderId="0" xfId="0" applyNumberFormat="1" applyFont="1" applyFill="1"/>
    <xf numFmtId="9" fontId="21" fillId="30" borderId="0" xfId="0" applyNumberFormat="1" applyFont="1" applyFill="1"/>
    <xf numFmtId="9" fontId="21" fillId="31" borderId="0" xfId="0" applyNumberFormat="1" applyFont="1" applyFill="1"/>
    <xf numFmtId="9" fontId="21" fillId="32" borderId="0" xfId="0" applyNumberFormat="1" applyFont="1" applyFill="1"/>
    <xf numFmtId="9" fontId="21" fillId="33" borderId="0" xfId="0" applyNumberFormat="1" applyFont="1" applyFill="1"/>
    <xf numFmtId="9" fontId="21" fillId="34" borderId="0" xfId="0" applyNumberFormat="1" applyFont="1" applyFill="1"/>
    <xf numFmtId="9" fontId="21" fillId="35" borderId="0" xfId="0" applyNumberFormat="1" applyFont="1" applyFill="1"/>
    <xf numFmtId="9" fontId="21" fillId="36" borderId="0" xfId="0" applyNumberFormat="1" applyFont="1" applyFill="1"/>
    <xf numFmtId="9" fontId="21" fillId="37" borderId="0" xfId="0" applyNumberFormat="1" applyFont="1" applyFill="1"/>
    <xf numFmtId="9" fontId="21" fillId="38" borderId="0" xfId="0" applyNumberFormat="1" applyFont="1" applyFill="1"/>
    <xf numFmtId="9" fontId="21" fillId="24" borderId="12" xfId="0" applyNumberFormat="1" applyFont="1" applyFill="1" applyBorder="1"/>
    <xf numFmtId="168" fontId="21" fillId="24" borderId="13" xfId="0" applyNumberFormat="1" applyFont="1" applyFill="1" applyBorder="1"/>
    <xf numFmtId="9" fontId="21" fillId="39" borderId="0" xfId="0" applyNumberFormat="1" applyFont="1" applyFill="1"/>
    <xf numFmtId="9" fontId="21" fillId="40" borderId="0" xfId="0" applyNumberFormat="1" applyFont="1" applyFill="1"/>
    <xf numFmtId="9" fontId="21" fillId="41" borderId="0" xfId="0" applyNumberFormat="1" applyFont="1" applyFill="1"/>
    <xf numFmtId="9" fontId="21" fillId="42" borderId="0" xfId="0" applyNumberFormat="1" applyFont="1" applyFill="1"/>
    <xf numFmtId="9" fontId="21" fillId="43" borderId="0" xfId="0" applyNumberFormat="1" applyFont="1" applyFill="1"/>
    <xf numFmtId="9" fontId="21" fillId="44" borderId="0" xfId="0" applyNumberFormat="1" applyFont="1" applyFill="1"/>
    <xf numFmtId="9" fontId="21" fillId="45" borderId="0" xfId="0" applyNumberFormat="1" applyFont="1" applyFill="1"/>
    <xf numFmtId="9" fontId="21" fillId="46" borderId="0" xfId="0" applyNumberFormat="1" applyFont="1" applyFill="1"/>
    <xf numFmtId="168" fontId="21" fillId="0" borderId="4" xfId="0" applyNumberFormat="1" applyFont="1" applyBorder="1"/>
    <xf numFmtId="9" fontId="21" fillId="47" borderId="0" xfId="0" applyNumberFormat="1" applyFont="1" applyFill="1"/>
    <xf numFmtId="9" fontId="21" fillId="48" borderId="0" xfId="0" applyNumberFormat="1" applyFont="1" applyFill="1"/>
    <xf numFmtId="9" fontId="21" fillId="49" borderId="0" xfId="0" applyNumberFormat="1" applyFont="1" applyFill="1"/>
    <xf numFmtId="9" fontId="21" fillId="50" borderId="0" xfId="0" applyNumberFormat="1" applyFont="1" applyFill="1"/>
    <xf numFmtId="9" fontId="21" fillId="51" borderId="0" xfId="0" applyNumberFormat="1" applyFont="1" applyFill="1"/>
    <xf numFmtId="9" fontId="21" fillId="52" borderId="0" xfId="0" applyNumberFormat="1" applyFont="1" applyFill="1"/>
    <xf numFmtId="9" fontId="21" fillId="53" borderId="0" xfId="0" applyNumberFormat="1" applyFont="1" applyFill="1"/>
    <xf numFmtId="9" fontId="21" fillId="54" borderId="0" xfId="0" applyNumberFormat="1" applyFont="1" applyFill="1"/>
    <xf numFmtId="9" fontId="21" fillId="55" borderId="0" xfId="0" applyNumberFormat="1" applyFont="1" applyFill="1"/>
    <xf numFmtId="9" fontId="21" fillId="56" borderId="0" xfId="0" applyNumberFormat="1" applyFont="1" applyFill="1"/>
    <xf numFmtId="9" fontId="21" fillId="57" borderId="0" xfId="0" applyNumberFormat="1" applyFont="1" applyFill="1"/>
    <xf numFmtId="168" fontId="21" fillId="24" borderId="4" xfId="0" applyNumberFormat="1" applyFont="1" applyFill="1" applyBorder="1"/>
    <xf numFmtId="9" fontId="21" fillId="58" borderId="0" xfId="0" applyNumberFormat="1" applyFont="1" applyFill="1"/>
    <xf numFmtId="9" fontId="21" fillId="59" borderId="0" xfId="0" applyNumberFormat="1" applyFont="1" applyFill="1"/>
    <xf numFmtId="9" fontId="21" fillId="60" borderId="0" xfId="0" applyNumberFormat="1" applyFont="1" applyFill="1"/>
    <xf numFmtId="9" fontId="21" fillId="61" borderId="0" xfId="0" applyNumberFormat="1" applyFont="1" applyFill="1"/>
    <xf numFmtId="9" fontId="21" fillId="62" borderId="0" xfId="0" applyNumberFormat="1" applyFont="1" applyFill="1"/>
    <xf numFmtId="9" fontId="21" fillId="63" borderId="0" xfId="0" applyNumberFormat="1" applyFont="1" applyFill="1"/>
    <xf numFmtId="9" fontId="21" fillId="64" borderId="0" xfId="0" applyNumberFormat="1" applyFont="1" applyFill="1"/>
    <xf numFmtId="9" fontId="21" fillId="65" borderId="0" xfId="0" applyNumberFormat="1" applyFont="1" applyFill="1"/>
    <xf numFmtId="9" fontId="21" fillId="66" borderId="0" xfId="0" applyNumberFormat="1" applyFont="1" applyFill="1"/>
    <xf numFmtId="9" fontId="21" fillId="67" borderId="0" xfId="0" applyNumberFormat="1" applyFont="1" applyFill="1"/>
    <xf numFmtId="9" fontId="21" fillId="68" borderId="0" xfId="0" applyNumberFormat="1" applyFont="1" applyFill="1"/>
    <xf numFmtId="9" fontId="21" fillId="69" borderId="0" xfId="0" applyNumberFormat="1" applyFont="1" applyFill="1"/>
    <xf numFmtId="9" fontId="21" fillId="70" borderId="0" xfId="0" applyNumberFormat="1" applyFont="1" applyFill="1"/>
    <xf numFmtId="9" fontId="21" fillId="71" borderId="0" xfId="0" applyNumberFormat="1" applyFont="1" applyFill="1"/>
    <xf numFmtId="9" fontId="21" fillId="72" borderId="0" xfId="0" applyNumberFormat="1" applyFont="1" applyFill="1"/>
    <xf numFmtId="9" fontId="21" fillId="73" borderId="0" xfId="0" applyNumberFormat="1" applyFont="1" applyFill="1"/>
    <xf numFmtId="9" fontId="21" fillId="74" borderId="0" xfId="0" applyNumberFormat="1" applyFont="1" applyFill="1"/>
    <xf numFmtId="9" fontId="21" fillId="75" borderId="0" xfId="0" applyNumberFormat="1" applyFont="1" applyFill="1"/>
    <xf numFmtId="9" fontId="21" fillId="76" borderId="0" xfId="0" applyNumberFormat="1" applyFont="1" applyFill="1"/>
    <xf numFmtId="9" fontId="21" fillId="77" borderId="0" xfId="0" applyNumberFormat="1" applyFont="1" applyFill="1"/>
    <xf numFmtId="9" fontId="21" fillId="78" borderId="0" xfId="0" applyNumberFormat="1" applyFont="1" applyFill="1"/>
    <xf numFmtId="9" fontId="21" fillId="79" borderId="0" xfId="0" applyNumberFormat="1" applyFont="1" applyFill="1"/>
    <xf numFmtId="9" fontId="21" fillId="80" borderId="0" xfId="0" applyNumberFormat="1" applyFont="1" applyFill="1"/>
    <xf numFmtId="9" fontId="21" fillId="81" borderId="0" xfId="0" applyNumberFormat="1" applyFont="1" applyFill="1"/>
    <xf numFmtId="9" fontId="21" fillId="82" borderId="0" xfId="0" applyNumberFormat="1" applyFont="1" applyFill="1"/>
    <xf numFmtId="9" fontId="21" fillId="83" borderId="0" xfId="0" applyNumberFormat="1" applyFont="1" applyFill="1"/>
    <xf numFmtId="9" fontId="21" fillId="84" borderId="0" xfId="0" applyNumberFormat="1" applyFont="1" applyFill="1"/>
    <xf numFmtId="9" fontId="21" fillId="85" borderId="0" xfId="0" applyNumberFormat="1" applyFont="1" applyFill="1"/>
    <xf numFmtId="9" fontId="21" fillId="86" borderId="0" xfId="0" applyNumberFormat="1" applyFont="1" applyFill="1"/>
    <xf numFmtId="9" fontId="21" fillId="87" borderId="0" xfId="0" applyNumberFormat="1" applyFont="1" applyFill="1"/>
    <xf numFmtId="9" fontId="21" fillId="88" borderId="0" xfId="0" applyNumberFormat="1" applyFont="1" applyFill="1"/>
    <xf numFmtId="9" fontId="21" fillId="89" borderId="0" xfId="0" applyNumberFormat="1" applyFont="1" applyFill="1"/>
    <xf numFmtId="9" fontId="21" fillId="90" borderId="0" xfId="0" applyNumberFormat="1" applyFont="1" applyFill="1"/>
    <xf numFmtId="9" fontId="21" fillId="91" borderId="0" xfId="0" applyNumberFormat="1" applyFont="1" applyFill="1"/>
    <xf numFmtId="9" fontId="21" fillId="92" borderId="0" xfId="0" applyNumberFormat="1" applyFont="1" applyFill="1"/>
    <xf numFmtId="9" fontId="21" fillId="93" borderId="0" xfId="0" applyNumberFormat="1" applyFont="1" applyFill="1"/>
    <xf numFmtId="9" fontId="21" fillId="94" borderId="0" xfId="0" applyNumberFormat="1" applyFont="1" applyFill="1"/>
    <xf numFmtId="9" fontId="21" fillId="95" borderId="0" xfId="0" applyNumberFormat="1" applyFont="1" applyFill="1"/>
    <xf numFmtId="9" fontId="21" fillId="96" borderId="0" xfId="0" applyNumberFormat="1" applyFont="1" applyFill="1"/>
    <xf numFmtId="9" fontId="21" fillId="97" borderId="0" xfId="0" applyNumberFormat="1" applyFont="1" applyFill="1"/>
    <xf numFmtId="9" fontId="21" fillId="98" borderId="0" xfId="0" applyNumberFormat="1" applyFont="1" applyFill="1"/>
    <xf numFmtId="9" fontId="21" fillId="99" borderId="0" xfId="0" applyNumberFormat="1" applyFont="1" applyFill="1"/>
    <xf numFmtId="9" fontId="21" fillId="100" borderId="0" xfId="0" applyNumberFormat="1" applyFont="1" applyFill="1"/>
    <xf numFmtId="9" fontId="21" fillId="101" borderId="0" xfId="0" applyNumberFormat="1" applyFont="1" applyFill="1"/>
    <xf numFmtId="9" fontId="21" fillId="102" borderId="0" xfId="0" applyNumberFormat="1" applyFont="1" applyFill="1"/>
    <xf numFmtId="9" fontId="21" fillId="103" borderId="0" xfId="0" applyNumberFormat="1" applyFont="1" applyFill="1"/>
    <xf numFmtId="9" fontId="21" fillId="104" borderId="0" xfId="0" applyNumberFormat="1" applyFont="1" applyFill="1"/>
    <xf numFmtId="9" fontId="21" fillId="105" borderId="0" xfId="0" applyNumberFormat="1" applyFont="1" applyFill="1"/>
    <xf numFmtId="9" fontId="21" fillId="106" borderId="0" xfId="0" applyNumberFormat="1" applyFont="1" applyFill="1"/>
    <xf numFmtId="9" fontId="21" fillId="107" borderId="0" xfId="0" applyNumberFormat="1" applyFont="1" applyFill="1"/>
    <xf numFmtId="9" fontId="21" fillId="108" borderId="0" xfId="0" applyNumberFormat="1" applyFont="1" applyFill="1"/>
    <xf numFmtId="9" fontId="21" fillId="109" borderId="0" xfId="0" applyNumberFormat="1" applyFont="1" applyFill="1"/>
    <xf numFmtId="9" fontId="21" fillId="110" borderId="0" xfId="0" applyNumberFormat="1" applyFont="1" applyFill="1"/>
    <xf numFmtId="9" fontId="21" fillId="111" borderId="0" xfId="0" applyNumberFormat="1" applyFont="1" applyFill="1"/>
    <xf numFmtId="9" fontId="21" fillId="112" borderId="0" xfId="0" applyNumberFormat="1" applyFont="1" applyFill="1"/>
    <xf numFmtId="9" fontId="21" fillId="113" borderId="0" xfId="0" applyNumberFormat="1" applyFont="1" applyFill="1"/>
    <xf numFmtId="9" fontId="21" fillId="114" borderId="0" xfId="0" applyNumberFormat="1" applyFont="1" applyFill="1"/>
    <xf numFmtId="9" fontId="21" fillId="115" borderId="0" xfId="0" applyNumberFormat="1" applyFont="1" applyFill="1"/>
    <xf numFmtId="9" fontId="21" fillId="116" borderId="0" xfId="0" applyNumberFormat="1" applyFont="1" applyFill="1"/>
    <xf numFmtId="9" fontId="21" fillId="117" borderId="0" xfId="0" applyNumberFormat="1" applyFont="1" applyFill="1"/>
    <xf numFmtId="9" fontId="21" fillId="118" borderId="0" xfId="0" applyNumberFormat="1" applyFont="1" applyFill="1"/>
    <xf numFmtId="9" fontId="21" fillId="119" borderId="0" xfId="0" applyNumberFormat="1" applyFont="1" applyFill="1"/>
    <xf numFmtId="9" fontId="21" fillId="120" borderId="0" xfId="0" applyNumberFormat="1" applyFont="1" applyFill="1"/>
    <xf numFmtId="9" fontId="21" fillId="121" borderId="0" xfId="0" applyNumberFormat="1" applyFont="1" applyFill="1"/>
    <xf numFmtId="9" fontId="21" fillId="122" borderId="0" xfId="0" applyNumberFormat="1" applyFont="1" applyFill="1"/>
    <xf numFmtId="9" fontId="21" fillId="123" borderId="0" xfId="0" applyNumberFormat="1" applyFont="1" applyFill="1"/>
    <xf numFmtId="9" fontId="21" fillId="124" borderId="0" xfId="0" applyNumberFormat="1" applyFont="1" applyFill="1"/>
    <xf numFmtId="9" fontId="21" fillId="125" borderId="0" xfId="0" applyNumberFormat="1" applyFont="1" applyFill="1"/>
    <xf numFmtId="9" fontId="21" fillId="126" borderId="0" xfId="0" applyNumberFormat="1" applyFont="1" applyFill="1"/>
    <xf numFmtId="9" fontId="21" fillId="127" borderId="0" xfId="0" applyNumberFormat="1" applyFont="1" applyFill="1"/>
    <xf numFmtId="9" fontId="21" fillId="128" borderId="0" xfId="0" applyNumberFormat="1" applyFont="1" applyFill="1"/>
    <xf numFmtId="9" fontId="21" fillId="129" borderId="0" xfId="0" applyNumberFormat="1" applyFont="1" applyFill="1"/>
    <xf numFmtId="9" fontId="21" fillId="130" borderId="0" xfId="0" applyNumberFormat="1" applyFont="1" applyFill="1"/>
    <xf numFmtId="9" fontId="21" fillId="131" borderId="0" xfId="0" applyNumberFormat="1" applyFont="1" applyFill="1"/>
    <xf numFmtId="9" fontId="21" fillId="132" borderId="0" xfId="0" applyNumberFormat="1" applyFont="1" applyFill="1"/>
    <xf numFmtId="9" fontId="21" fillId="133" borderId="0" xfId="0" applyNumberFormat="1" applyFont="1" applyFill="1"/>
    <xf numFmtId="9" fontId="21" fillId="134" borderId="0" xfId="0" applyNumberFormat="1" applyFont="1" applyFill="1"/>
    <xf numFmtId="9" fontId="21" fillId="135" borderId="0" xfId="0" applyNumberFormat="1" applyFont="1" applyFill="1"/>
    <xf numFmtId="9" fontId="21" fillId="136" borderId="0" xfId="0" applyNumberFormat="1" applyFont="1" applyFill="1"/>
    <xf numFmtId="9" fontId="21" fillId="137" borderId="0" xfId="0" applyNumberFormat="1" applyFont="1" applyFill="1"/>
    <xf numFmtId="9" fontId="21" fillId="138" borderId="0" xfId="0" applyNumberFormat="1" applyFont="1" applyFill="1"/>
    <xf numFmtId="9" fontId="21" fillId="139" borderId="0" xfId="0" applyNumberFormat="1" applyFont="1" applyFill="1"/>
    <xf numFmtId="9" fontId="21" fillId="140" borderId="0" xfId="0" applyNumberFormat="1" applyFont="1" applyFill="1"/>
    <xf numFmtId="9" fontId="21" fillId="141" borderId="0" xfId="0" applyNumberFormat="1" applyFont="1" applyFill="1"/>
    <xf numFmtId="9" fontId="21" fillId="142" borderId="0" xfId="0" applyNumberFormat="1" applyFont="1" applyFill="1"/>
    <xf numFmtId="9" fontId="21" fillId="143" borderId="0" xfId="0" applyNumberFormat="1" applyFont="1" applyFill="1"/>
    <xf numFmtId="9" fontId="21" fillId="144" borderId="0" xfId="0" applyNumberFormat="1" applyFont="1" applyFill="1"/>
    <xf numFmtId="9" fontId="21" fillId="145" borderId="0" xfId="0" applyNumberFormat="1" applyFont="1" applyFill="1"/>
    <xf numFmtId="9" fontId="21" fillId="146" borderId="0" xfId="0" applyNumberFormat="1" applyFont="1" applyFill="1"/>
    <xf numFmtId="9" fontId="21" fillId="147" borderId="0" xfId="0" applyNumberFormat="1" applyFont="1" applyFill="1"/>
    <xf numFmtId="9" fontId="21" fillId="148" borderId="0" xfId="0" applyNumberFormat="1" applyFont="1" applyFill="1"/>
    <xf numFmtId="9" fontId="21" fillId="149" borderId="0" xfId="0" applyNumberFormat="1" applyFont="1" applyFill="1"/>
    <xf numFmtId="9" fontId="21" fillId="150" borderId="0" xfId="0" applyNumberFormat="1" applyFont="1" applyFill="1"/>
    <xf numFmtId="9" fontId="21" fillId="151" borderId="0" xfId="0" applyNumberFormat="1" applyFont="1" applyFill="1"/>
    <xf numFmtId="9" fontId="21" fillId="152" borderId="0" xfId="0" applyNumberFormat="1" applyFont="1" applyFill="1"/>
    <xf numFmtId="9" fontId="21" fillId="153" borderId="0" xfId="0" applyNumberFormat="1" applyFont="1" applyFill="1"/>
    <xf numFmtId="9" fontId="21" fillId="154" borderId="0" xfId="0" applyNumberFormat="1" applyFont="1" applyFill="1"/>
    <xf numFmtId="9" fontId="21" fillId="155" borderId="0" xfId="0" applyNumberFormat="1" applyFont="1" applyFill="1"/>
    <xf numFmtId="9" fontId="21" fillId="156" borderId="0" xfId="0" applyNumberFormat="1" applyFont="1" applyFill="1"/>
    <xf numFmtId="9" fontId="21" fillId="157" borderId="0" xfId="0" applyNumberFormat="1" applyFont="1" applyFill="1"/>
    <xf numFmtId="9" fontId="21" fillId="158" borderId="0" xfId="0" applyNumberFormat="1" applyFont="1" applyFill="1"/>
    <xf numFmtId="9" fontId="21" fillId="159" borderId="0" xfId="0" applyNumberFormat="1" applyFont="1" applyFill="1"/>
    <xf numFmtId="9" fontId="21" fillId="160" borderId="0" xfId="0" applyNumberFormat="1" applyFont="1" applyFill="1"/>
    <xf numFmtId="9" fontId="21" fillId="161" borderId="0" xfId="0" applyNumberFormat="1" applyFont="1" applyFill="1"/>
    <xf numFmtId="9" fontId="21" fillId="162" borderId="0" xfId="0" applyNumberFormat="1" applyFont="1" applyFill="1"/>
    <xf numFmtId="9" fontId="21" fillId="163" borderId="0" xfId="0" applyNumberFormat="1" applyFont="1" applyFill="1"/>
    <xf numFmtId="9" fontId="21" fillId="164" borderId="0" xfId="0" applyNumberFormat="1" applyFont="1" applyFill="1"/>
    <xf numFmtId="9" fontId="21" fillId="165" borderId="0" xfId="0" applyNumberFormat="1" applyFont="1" applyFill="1"/>
    <xf numFmtId="9" fontId="21" fillId="166" borderId="0" xfId="0" applyNumberFormat="1" applyFont="1" applyFill="1"/>
    <xf numFmtId="9" fontId="21" fillId="167" borderId="0" xfId="0" applyNumberFormat="1" applyFont="1" applyFill="1"/>
    <xf numFmtId="9" fontId="21" fillId="168" borderId="0" xfId="0" applyNumberFormat="1" applyFont="1" applyFill="1"/>
    <xf numFmtId="9" fontId="21" fillId="169" borderId="0" xfId="0" applyNumberFormat="1" applyFont="1" applyFill="1"/>
    <xf numFmtId="9" fontId="21" fillId="170" borderId="0" xfId="0" applyNumberFormat="1" applyFont="1" applyFill="1"/>
    <xf numFmtId="9" fontId="21" fillId="171" borderId="0" xfId="0" applyNumberFormat="1" applyFont="1" applyFill="1"/>
    <xf numFmtId="9" fontId="21" fillId="172" borderId="0" xfId="0" applyNumberFormat="1" applyFont="1" applyFill="1"/>
    <xf numFmtId="9" fontId="21" fillId="173" borderId="0" xfId="0" applyNumberFormat="1" applyFont="1" applyFill="1"/>
    <xf numFmtId="9" fontId="21" fillId="174" borderId="0" xfId="0" applyNumberFormat="1" applyFont="1" applyFill="1"/>
    <xf numFmtId="9" fontId="21" fillId="175" borderId="0" xfId="0" applyNumberFormat="1" applyFont="1" applyFill="1"/>
    <xf numFmtId="9" fontId="21" fillId="176" borderId="0" xfId="0" applyNumberFormat="1" applyFont="1" applyFill="1"/>
    <xf numFmtId="9" fontId="21" fillId="177" borderId="0" xfId="0" applyNumberFormat="1" applyFont="1" applyFill="1"/>
    <xf numFmtId="9" fontId="21" fillId="178" borderId="0" xfId="0" applyNumberFormat="1" applyFont="1" applyFill="1"/>
    <xf numFmtId="9" fontId="21" fillId="179" borderId="0" xfId="0" applyNumberFormat="1" applyFont="1" applyFill="1"/>
    <xf numFmtId="9" fontId="21" fillId="180" borderId="0" xfId="0" applyNumberFormat="1" applyFont="1" applyFill="1"/>
    <xf numFmtId="9" fontId="21" fillId="181" borderId="0" xfId="0" applyNumberFormat="1" applyFont="1" applyFill="1"/>
    <xf numFmtId="9" fontId="21" fillId="182" borderId="0" xfId="0" applyNumberFormat="1" applyFont="1" applyFill="1"/>
    <xf numFmtId="9" fontId="21" fillId="183" borderId="0" xfId="0" applyNumberFormat="1" applyFont="1" applyFill="1"/>
    <xf numFmtId="9" fontId="21" fillId="184" borderId="0" xfId="0" applyNumberFormat="1" applyFont="1" applyFill="1"/>
    <xf numFmtId="9" fontId="21" fillId="185" borderId="0" xfId="0" applyNumberFormat="1" applyFont="1" applyFill="1"/>
    <xf numFmtId="9" fontId="21" fillId="186" borderId="0" xfId="0" applyNumberFormat="1" applyFont="1" applyFill="1"/>
    <xf numFmtId="9" fontId="21" fillId="187" borderId="0" xfId="0" applyNumberFormat="1" applyFont="1" applyFill="1"/>
    <xf numFmtId="9" fontId="21" fillId="188" borderId="0" xfId="0" applyNumberFormat="1" applyFont="1" applyFill="1"/>
    <xf numFmtId="9" fontId="21" fillId="189" borderId="0" xfId="0" applyNumberFormat="1" applyFont="1" applyFill="1"/>
    <xf numFmtId="9" fontId="21" fillId="190" borderId="0" xfId="0" applyNumberFormat="1" applyFont="1" applyFill="1"/>
    <xf numFmtId="9" fontId="21" fillId="191" borderId="0" xfId="0" applyNumberFormat="1" applyFont="1" applyFill="1"/>
    <xf numFmtId="9" fontId="21" fillId="192" borderId="0" xfId="0" applyNumberFormat="1" applyFont="1" applyFill="1"/>
    <xf numFmtId="9" fontId="21" fillId="193" borderId="0" xfId="0" applyNumberFormat="1" applyFont="1" applyFill="1"/>
    <xf numFmtId="9" fontId="21" fillId="194" borderId="0" xfId="0" applyNumberFormat="1" applyFont="1" applyFill="1"/>
    <xf numFmtId="9" fontId="21" fillId="195" borderId="0" xfId="0" applyNumberFormat="1" applyFont="1" applyFill="1"/>
    <xf numFmtId="0" fontId="23" fillId="0" borderId="5" xfId="0" applyFont="1" applyBorder="1"/>
    <xf numFmtId="164" fontId="23" fillId="0" borderId="1" xfId="0" applyNumberFormat="1" applyFont="1" applyBorder="1"/>
    <xf numFmtId="9" fontId="23" fillId="47" borderId="1" xfId="0" applyNumberFormat="1" applyFont="1" applyFill="1" applyBorder="1"/>
    <xf numFmtId="9" fontId="23" fillId="196" borderId="1" xfId="0" applyNumberFormat="1" applyFont="1" applyFill="1" applyBorder="1"/>
    <xf numFmtId="9" fontId="23" fillId="41" borderId="1" xfId="0" applyNumberFormat="1" applyFont="1" applyFill="1" applyBorder="1"/>
    <xf numFmtId="9" fontId="23" fillId="66" borderId="1" xfId="0" applyNumberFormat="1" applyFont="1" applyFill="1" applyBorder="1"/>
    <xf numFmtId="9" fontId="23" fillId="91" borderId="1" xfId="0" applyNumberFormat="1" applyFont="1" applyFill="1" applyBorder="1"/>
    <xf numFmtId="9" fontId="23" fillId="197" borderId="1" xfId="0" applyNumberFormat="1" applyFont="1" applyFill="1" applyBorder="1"/>
    <xf numFmtId="9" fontId="23" fillId="124" borderId="1" xfId="0" applyNumberFormat="1" applyFont="1" applyFill="1" applyBorder="1"/>
    <xf numFmtId="9" fontId="23" fillId="48" borderId="1" xfId="0" applyNumberFormat="1" applyFont="1" applyFill="1" applyBorder="1"/>
    <xf numFmtId="9" fontId="23" fillId="198" borderId="1" xfId="0" applyNumberFormat="1" applyFont="1" applyFill="1" applyBorder="1"/>
    <xf numFmtId="9" fontId="23" fillId="199" borderId="1" xfId="0" applyNumberFormat="1" applyFont="1" applyFill="1" applyBorder="1"/>
    <xf numFmtId="9" fontId="23" fillId="24" borderId="1" xfId="0" applyNumberFormat="1" applyFont="1" applyFill="1" applyBorder="1"/>
    <xf numFmtId="9" fontId="23" fillId="0" borderId="1" xfId="0" applyNumberFormat="1" applyFont="1" applyBorder="1"/>
    <xf numFmtId="168" fontId="23" fillId="0" borderId="6" xfId="0" applyNumberFormat="1" applyFont="1" applyBorder="1"/>
    <xf numFmtId="9" fontId="23" fillId="0" borderId="0" xfId="0" applyNumberFormat="1" applyFont="1"/>
    <xf numFmtId="9" fontId="23" fillId="200" borderId="1" xfId="0" applyNumberFormat="1" applyFont="1" applyFill="1" applyBorder="1"/>
    <xf numFmtId="9" fontId="23" fillId="201" borderId="1" xfId="0" applyNumberFormat="1" applyFont="1" applyFill="1" applyBorder="1"/>
    <xf numFmtId="9" fontId="23" fillId="202" borderId="1" xfId="0" applyNumberFormat="1" applyFont="1" applyFill="1" applyBorder="1"/>
    <xf numFmtId="9" fontId="23" fillId="53" borderId="1" xfId="0" applyNumberFormat="1" applyFont="1" applyFill="1" applyBorder="1"/>
    <xf numFmtId="9" fontId="23" fillId="60" borderId="1" xfId="0" applyNumberFormat="1" applyFont="1" applyFill="1" applyBorder="1"/>
    <xf numFmtId="9" fontId="23" fillId="122" borderId="1" xfId="0" applyNumberFormat="1" applyFont="1" applyFill="1" applyBorder="1"/>
    <xf numFmtId="9" fontId="23" fillId="80" borderId="1" xfId="0" applyNumberFormat="1" applyFont="1" applyFill="1" applyBorder="1"/>
    <xf numFmtId="9" fontId="23" fillId="32" borderId="1" xfId="0" applyNumberFormat="1" applyFont="1" applyFill="1" applyBorder="1"/>
    <xf numFmtId="9" fontId="23" fillId="113" borderId="1" xfId="0" applyNumberFormat="1" applyFont="1" applyFill="1" applyBorder="1"/>
    <xf numFmtId="9" fontId="23" fillId="203" borderId="1" xfId="0" applyNumberFormat="1" applyFont="1" applyFill="1" applyBorder="1"/>
    <xf numFmtId="9" fontId="23" fillId="204" borderId="1" xfId="0" applyNumberFormat="1" applyFont="1" applyFill="1" applyBorder="1"/>
    <xf numFmtId="9" fontId="23" fillId="142" borderId="1" xfId="0" applyNumberFormat="1" applyFont="1" applyFill="1" applyBorder="1"/>
    <xf numFmtId="9" fontId="23" fillId="186" borderId="1" xfId="0" applyNumberFormat="1" applyFont="1" applyFill="1" applyBorder="1"/>
    <xf numFmtId="168" fontId="23" fillId="24" borderId="6" xfId="0" applyNumberFormat="1" applyFont="1" applyFill="1" applyBorder="1"/>
    <xf numFmtId="0" fontId="23" fillId="0" borderId="7" xfId="0" applyFont="1" applyBorder="1" applyAlignment="1">
      <alignment horizontal="center" vertical="center" wrapText="1"/>
    </xf>
    <xf numFmtId="168" fontId="21" fillId="205" borderId="0" xfId="0" applyNumberFormat="1" applyFont="1" applyFill="1"/>
    <xf numFmtId="168" fontId="21" fillId="48" borderId="0" xfId="0" applyNumberFormat="1" applyFont="1" applyFill="1"/>
    <xf numFmtId="168" fontId="21" fillId="206" borderId="0" xfId="0" applyNumberFormat="1" applyFont="1" applyFill="1"/>
    <xf numFmtId="168" fontId="21" fillId="207" borderId="0" xfId="0" applyNumberFormat="1" applyFont="1" applyFill="1"/>
    <xf numFmtId="168" fontId="21" fillId="208" borderId="0" xfId="0" applyNumberFormat="1" applyFont="1" applyFill="1"/>
    <xf numFmtId="168" fontId="21" fillId="209" borderId="0" xfId="0" applyNumberFormat="1" applyFont="1" applyFill="1"/>
    <xf numFmtId="168" fontId="21" fillId="210" borderId="0" xfId="0" applyNumberFormat="1" applyFont="1" applyFill="1"/>
    <xf numFmtId="168" fontId="21" fillId="211" borderId="0" xfId="0" applyNumberFormat="1" applyFont="1" applyFill="1"/>
    <xf numFmtId="168" fontId="21" fillId="212" borderId="0" xfId="0" applyNumberFormat="1" applyFont="1" applyFill="1"/>
    <xf numFmtId="168" fontId="21" fillId="213" borderId="0" xfId="0" applyNumberFormat="1" applyFont="1" applyFill="1"/>
    <xf numFmtId="168" fontId="21" fillId="94" borderId="0" xfId="0" applyNumberFormat="1" applyFont="1" applyFill="1"/>
    <xf numFmtId="168" fontId="21" fillId="214" borderId="0" xfId="0" applyNumberFormat="1" applyFont="1" applyFill="1"/>
    <xf numFmtId="168" fontId="21" fillId="25" borderId="0" xfId="0" applyNumberFormat="1" applyFont="1" applyFill="1"/>
    <xf numFmtId="168" fontId="21" fillId="215" borderId="0" xfId="0" applyNumberFormat="1" applyFont="1" applyFill="1"/>
    <xf numFmtId="168" fontId="21" fillId="216" borderId="0" xfId="0" applyNumberFormat="1" applyFont="1" applyFill="1"/>
    <xf numFmtId="168" fontId="21" fillId="217" borderId="0" xfId="0" applyNumberFormat="1" applyFont="1" applyFill="1"/>
    <xf numFmtId="168" fontId="21" fillId="218" borderId="0" xfId="0" applyNumberFormat="1" applyFont="1" applyFill="1"/>
    <xf numFmtId="168" fontId="21" fillId="219" borderId="0" xfId="0" applyNumberFormat="1" applyFont="1" applyFill="1"/>
    <xf numFmtId="168" fontId="21" fillId="220" borderId="0" xfId="0" applyNumberFormat="1" applyFont="1" applyFill="1"/>
    <xf numFmtId="168" fontId="21" fillId="221" borderId="0" xfId="0" applyNumberFormat="1" applyFont="1" applyFill="1"/>
    <xf numFmtId="168" fontId="21" fillId="222" borderId="0" xfId="0" applyNumberFormat="1" applyFont="1" applyFill="1"/>
    <xf numFmtId="168" fontId="21" fillId="223" borderId="0" xfId="0" applyNumberFormat="1" applyFont="1" applyFill="1"/>
    <xf numFmtId="168" fontId="21" fillId="224" borderId="0" xfId="0" applyNumberFormat="1" applyFont="1" applyFill="1"/>
    <xf numFmtId="168" fontId="21" fillId="225" borderId="0" xfId="0" applyNumberFormat="1" applyFont="1" applyFill="1"/>
    <xf numFmtId="168" fontId="21" fillId="226" borderId="0" xfId="0" applyNumberFormat="1" applyFont="1" applyFill="1"/>
    <xf numFmtId="168" fontId="21" fillId="227" borderId="0" xfId="0" applyNumberFormat="1" applyFont="1" applyFill="1"/>
    <xf numFmtId="168" fontId="21" fillId="228" borderId="0" xfId="0" applyNumberFormat="1" applyFont="1" applyFill="1"/>
    <xf numFmtId="168" fontId="21" fillId="229" borderId="0" xfId="0" applyNumberFormat="1" applyFont="1" applyFill="1"/>
    <xf numFmtId="168" fontId="21" fillId="230" borderId="0" xfId="0" applyNumberFormat="1" applyFont="1" applyFill="1"/>
    <xf numFmtId="168" fontId="21" fillId="231" borderId="0" xfId="0" applyNumberFormat="1" applyFont="1" applyFill="1"/>
    <xf numFmtId="168" fontId="21" fillId="232" borderId="0" xfId="0" applyNumberFormat="1" applyFont="1" applyFill="1"/>
    <xf numFmtId="168" fontId="21" fillId="233" borderId="0" xfId="0" applyNumberFormat="1" applyFont="1" applyFill="1"/>
    <xf numFmtId="168" fontId="21" fillId="234" borderId="0" xfId="0" applyNumberFormat="1" applyFont="1" applyFill="1"/>
    <xf numFmtId="168" fontId="21" fillId="235" borderId="0" xfId="0" applyNumberFormat="1" applyFont="1" applyFill="1"/>
    <xf numFmtId="168" fontId="21" fillId="236" borderId="0" xfId="0" applyNumberFormat="1" applyFont="1" applyFill="1"/>
    <xf numFmtId="168" fontId="21" fillId="237" borderId="0" xfId="0" applyNumberFormat="1" applyFont="1" applyFill="1"/>
    <xf numFmtId="168" fontId="21" fillId="238" borderId="0" xfId="0" applyNumberFormat="1" applyFont="1" applyFill="1"/>
    <xf numFmtId="168" fontId="21" fillId="239" borderId="0" xfId="0" applyNumberFormat="1" applyFont="1" applyFill="1"/>
    <xf numFmtId="168" fontId="21" fillId="240" borderId="0" xfId="0" applyNumberFormat="1" applyFont="1" applyFill="1"/>
    <xf numFmtId="168" fontId="21" fillId="241" borderId="0" xfId="0" applyNumberFormat="1" applyFont="1" applyFill="1"/>
    <xf numFmtId="168" fontId="21" fillId="242" borderId="0" xfId="0" applyNumberFormat="1" applyFont="1" applyFill="1"/>
    <xf numFmtId="168" fontId="21" fillId="243" borderId="0" xfId="0" applyNumberFormat="1" applyFont="1" applyFill="1"/>
    <xf numFmtId="168" fontId="21" fillId="244" borderId="0" xfId="0" applyNumberFormat="1" applyFont="1" applyFill="1"/>
    <xf numFmtId="168" fontId="21" fillId="245" borderId="0" xfId="0" applyNumberFormat="1" applyFont="1" applyFill="1"/>
    <xf numFmtId="168" fontId="21" fillId="246" borderId="0" xfId="0" applyNumberFormat="1" applyFont="1" applyFill="1"/>
    <xf numFmtId="168" fontId="21" fillId="247" borderId="0" xfId="0" applyNumberFormat="1" applyFont="1" applyFill="1"/>
    <xf numFmtId="168" fontId="21" fillId="248" borderId="0" xfId="0" applyNumberFormat="1" applyFont="1" applyFill="1"/>
    <xf numFmtId="168" fontId="21" fillId="194" borderId="0" xfId="0" applyNumberFormat="1" applyFont="1" applyFill="1"/>
    <xf numFmtId="168" fontId="21" fillId="249" borderId="0" xfId="0" applyNumberFormat="1" applyFont="1" applyFill="1"/>
    <xf numFmtId="168" fontId="21" fillId="250" borderId="0" xfId="0" applyNumberFormat="1" applyFont="1" applyFill="1"/>
    <xf numFmtId="168" fontId="21" fillId="251" borderId="0" xfId="0" applyNumberFormat="1" applyFont="1" applyFill="1"/>
    <xf numFmtId="168" fontId="21" fillId="252" borderId="0" xfId="0" applyNumberFormat="1" applyFont="1" applyFill="1"/>
    <xf numFmtId="168" fontId="21" fillId="253" borderId="0" xfId="0" applyNumberFormat="1" applyFont="1" applyFill="1"/>
    <xf numFmtId="168" fontId="21" fillId="24" borderId="0" xfId="0" applyNumberFormat="1" applyFont="1" applyFill="1"/>
    <xf numFmtId="168" fontId="21" fillId="254" borderId="0" xfId="0" applyNumberFormat="1" applyFont="1" applyFill="1"/>
    <xf numFmtId="168" fontId="21" fillId="255" borderId="0" xfId="0" applyNumberFormat="1" applyFont="1" applyFill="1"/>
    <xf numFmtId="168" fontId="21" fillId="256" borderId="0" xfId="0" applyNumberFormat="1" applyFont="1" applyFill="1"/>
    <xf numFmtId="168" fontId="21" fillId="257" borderId="0" xfId="0" applyNumberFormat="1" applyFont="1" applyFill="1"/>
    <xf numFmtId="168" fontId="21" fillId="258" borderId="0" xfId="0" applyNumberFormat="1" applyFont="1" applyFill="1"/>
    <xf numFmtId="168" fontId="21" fillId="259" borderId="0" xfId="0" applyNumberFormat="1" applyFont="1" applyFill="1"/>
    <xf numFmtId="168" fontId="21" fillId="260" borderId="0" xfId="0" applyNumberFormat="1" applyFont="1" applyFill="1"/>
    <xf numFmtId="168" fontId="21" fillId="261" borderId="0" xfId="0" applyNumberFormat="1" applyFont="1" applyFill="1"/>
    <xf numFmtId="168" fontId="21" fillId="262" borderId="0" xfId="0" applyNumberFormat="1" applyFont="1" applyFill="1"/>
    <xf numFmtId="168" fontId="21" fillId="263" borderId="0" xfId="0" applyNumberFormat="1" applyFont="1" applyFill="1"/>
    <xf numFmtId="168" fontId="21" fillId="264" borderId="0" xfId="0" applyNumberFormat="1" applyFont="1" applyFill="1"/>
    <xf numFmtId="168" fontId="21" fillId="265" borderId="0" xfId="0" applyNumberFormat="1" applyFont="1" applyFill="1"/>
    <xf numFmtId="168" fontId="21" fillId="266" borderId="0" xfId="0" applyNumberFormat="1" applyFont="1" applyFill="1"/>
    <xf numFmtId="168" fontId="21" fillId="267" borderId="0" xfId="0" applyNumberFormat="1" applyFont="1" applyFill="1"/>
    <xf numFmtId="168" fontId="21" fillId="268" borderId="0" xfId="0" applyNumberFormat="1" applyFont="1" applyFill="1"/>
    <xf numFmtId="168" fontId="21" fillId="269" borderId="0" xfId="0" applyNumberFormat="1" applyFont="1" applyFill="1"/>
    <xf numFmtId="168" fontId="21" fillId="62" borderId="0" xfId="0" applyNumberFormat="1" applyFont="1" applyFill="1"/>
    <xf numFmtId="168" fontId="21" fillId="270" borderId="0" xfId="0" applyNumberFormat="1" applyFont="1" applyFill="1"/>
    <xf numFmtId="168" fontId="21" fillId="271" borderId="0" xfId="0" applyNumberFormat="1" applyFont="1" applyFill="1"/>
    <xf numFmtId="168" fontId="21" fillId="272" borderId="0" xfId="0" applyNumberFormat="1" applyFont="1" applyFill="1"/>
    <xf numFmtId="168" fontId="21" fillId="273" borderId="0" xfId="0" applyNumberFormat="1" applyFont="1" applyFill="1"/>
    <xf numFmtId="168" fontId="21" fillId="274" borderId="0" xfId="0" applyNumberFormat="1" applyFont="1" applyFill="1"/>
    <xf numFmtId="168" fontId="21" fillId="275" borderId="0" xfId="0" applyNumberFormat="1" applyFont="1" applyFill="1"/>
    <xf numFmtId="168" fontId="21" fillId="276" borderId="0" xfId="0" applyNumberFormat="1" applyFont="1" applyFill="1"/>
    <xf numFmtId="168" fontId="21" fillId="277" borderId="0" xfId="0" applyNumberFormat="1" applyFont="1" applyFill="1"/>
    <xf numFmtId="168" fontId="21" fillId="278" borderId="0" xfId="0" applyNumberFormat="1" applyFont="1" applyFill="1"/>
    <xf numFmtId="168" fontId="21" fillId="279" borderId="0" xfId="0" applyNumberFormat="1" applyFont="1" applyFill="1"/>
    <xf numFmtId="168" fontId="21" fillId="280" borderId="0" xfId="0" applyNumberFormat="1" applyFont="1" applyFill="1"/>
    <xf numFmtId="168" fontId="21" fillId="281" borderId="0" xfId="0" applyNumberFormat="1" applyFont="1" applyFill="1"/>
    <xf numFmtId="168" fontId="21" fillId="282" borderId="0" xfId="0" applyNumberFormat="1" applyFont="1" applyFill="1"/>
    <xf numFmtId="168" fontId="21" fillId="283" borderId="0" xfId="0" applyNumberFormat="1" applyFont="1" applyFill="1"/>
    <xf numFmtId="168" fontId="21" fillId="284" borderId="0" xfId="0" applyNumberFormat="1" applyFont="1" applyFill="1"/>
    <xf numFmtId="168" fontId="21" fillId="285" borderId="0" xfId="0" applyNumberFormat="1" applyFont="1" applyFill="1"/>
    <xf numFmtId="168" fontId="21" fillId="286" borderId="0" xfId="0" applyNumberFormat="1" applyFont="1" applyFill="1"/>
    <xf numFmtId="168" fontId="21" fillId="287" borderId="0" xfId="0" applyNumberFormat="1" applyFont="1" applyFill="1"/>
    <xf numFmtId="168" fontId="21" fillId="288" borderId="0" xfId="0" applyNumberFormat="1" applyFont="1" applyFill="1"/>
    <xf numFmtId="168" fontId="21" fillId="289" borderId="0" xfId="0" applyNumberFormat="1" applyFont="1" applyFill="1"/>
    <xf numFmtId="168" fontId="21" fillId="290" borderId="0" xfId="0" applyNumberFormat="1" applyFont="1" applyFill="1"/>
    <xf numFmtId="168" fontId="21" fillId="291" borderId="0" xfId="0" applyNumberFormat="1" applyFont="1" applyFill="1"/>
    <xf numFmtId="168" fontId="21" fillId="292" borderId="0" xfId="0" applyNumberFormat="1" applyFont="1" applyFill="1"/>
    <xf numFmtId="168" fontId="21" fillId="293" borderId="0" xfId="0" applyNumberFormat="1" applyFont="1" applyFill="1"/>
    <xf numFmtId="168" fontId="21" fillId="294" borderId="0" xfId="0" applyNumberFormat="1" applyFont="1" applyFill="1"/>
    <xf numFmtId="168" fontId="21" fillId="295" borderId="0" xfId="0" applyNumberFormat="1" applyFont="1" applyFill="1"/>
    <xf numFmtId="168" fontId="21" fillId="296" borderId="0" xfId="0" applyNumberFormat="1" applyFont="1" applyFill="1"/>
    <xf numFmtId="168" fontId="21" fillId="297" borderId="0" xfId="0" applyNumberFormat="1" applyFont="1" applyFill="1"/>
    <xf numFmtId="168" fontId="21" fillId="298" borderId="0" xfId="0" applyNumberFormat="1" applyFont="1" applyFill="1"/>
    <xf numFmtId="168" fontId="21" fillId="299" borderId="0" xfId="0" applyNumberFormat="1" applyFont="1" applyFill="1"/>
    <xf numFmtId="168" fontId="21" fillId="300" borderId="0" xfId="0" applyNumberFormat="1" applyFont="1" applyFill="1"/>
    <xf numFmtId="168" fontId="21" fillId="301" borderId="0" xfId="0" applyNumberFormat="1" applyFont="1" applyFill="1"/>
    <xf numFmtId="168" fontId="21" fillId="302" borderId="0" xfId="0" applyNumberFormat="1" applyFont="1" applyFill="1"/>
    <xf numFmtId="168" fontId="21" fillId="303" borderId="0" xfId="0" applyNumberFormat="1" applyFont="1" applyFill="1"/>
    <xf numFmtId="168" fontId="21" fillId="304" borderId="0" xfId="0" applyNumberFormat="1" applyFont="1" applyFill="1"/>
    <xf numFmtId="168" fontId="21" fillId="305" borderId="0" xfId="0" applyNumberFormat="1" applyFont="1" applyFill="1"/>
    <xf numFmtId="168" fontId="21" fillId="306" borderId="0" xfId="0" applyNumberFormat="1" applyFont="1" applyFill="1"/>
    <xf numFmtId="168" fontId="21" fillId="307" borderId="0" xfId="0" applyNumberFormat="1" applyFont="1" applyFill="1"/>
    <xf numFmtId="168" fontId="21" fillId="308" borderId="0" xfId="0" applyNumberFormat="1" applyFont="1" applyFill="1"/>
    <xf numFmtId="168" fontId="21" fillId="309" borderId="0" xfId="0" applyNumberFormat="1" applyFont="1" applyFill="1"/>
    <xf numFmtId="168" fontId="21" fillId="310" borderId="0" xfId="0" applyNumberFormat="1" applyFont="1" applyFill="1"/>
    <xf numFmtId="168" fontId="21" fillId="311" borderId="0" xfId="0" applyNumberFormat="1" applyFont="1" applyFill="1"/>
    <xf numFmtId="168" fontId="21" fillId="312" borderId="0" xfId="0" applyNumberFormat="1" applyFont="1" applyFill="1"/>
    <xf numFmtId="168" fontId="21" fillId="313" borderId="0" xfId="0" applyNumberFormat="1" applyFont="1" applyFill="1"/>
    <xf numFmtId="168" fontId="21" fillId="314" borderId="0" xfId="0" applyNumberFormat="1" applyFont="1" applyFill="1"/>
    <xf numFmtId="168" fontId="21" fillId="315" borderId="0" xfId="0" applyNumberFormat="1" applyFont="1" applyFill="1"/>
    <xf numFmtId="168" fontId="21" fillId="316" borderId="0" xfId="0" applyNumberFormat="1" applyFont="1" applyFill="1"/>
    <xf numFmtId="168" fontId="21" fillId="317" borderId="0" xfId="0" applyNumberFormat="1" applyFont="1" applyFill="1"/>
    <xf numFmtId="168" fontId="21" fillId="318" borderId="0" xfId="0" applyNumberFormat="1" applyFont="1" applyFill="1"/>
    <xf numFmtId="168" fontId="21" fillId="319" borderId="0" xfId="0" applyNumberFormat="1" applyFont="1" applyFill="1"/>
    <xf numFmtId="168" fontId="21" fillId="320" borderId="0" xfId="0" applyNumberFormat="1" applyFont="1" applyFill="1"/>
    <xf numFmtId="168" fontId="21" fillId="321" borderId="0" xfId="0" applyNumberFormat="1" applyFont="1" applyFill="1"/>
    <xf numFmtId="168" fontId="21" fillId="322" borderId="0" xfId="0" applyNumberFormat="1" applyFont="1" applyFill="1"/>
    <xf numFmtId="168" fontId="21" fillId="323" borderId="0" xfId="0" applyNumberFormat="1" applyFont="1" applyFill="1"/>
    <xf numFmtId="168" fontId="21" fillId="324" borderId="0" xfId="0" applyNumberFormat="1" applyFont="1" applyFill="1"/>
    <xf numFmtId="168" fontId="21" fillId="325" borderId="0" xfId="0" applyNumberFormat="1" applyFont="1" applyFill="1"/>
    <xf numFmtId="168" fontId="21" fillId="326" borderId="0" xfId="0" applyNumberFormat="1" applyFont="1" applyFill="1"/>
    <xf numFmtId="168" fontId="21" fillId="327" borderId="0" xfId="0" applyNumberFormat="1" applyFont="1" applyFill="1"/>
    <xf numFmtId="168" fontId="21" fillId="328" borderId="0" xfId="0" applyNumberFormat="1" applyFont="1" applyFill="1"/>
    <xf numFmtId="168" fontId="21" fillId="329" borderId="0" xfId="0" applyNumberFormat="1" applyFont="1" applyFill="1"/>
    <xf numFmtId="168" fontId="21" fillId="330" borderId="0" xfId="0" applyNumberFormat="1" applyFont="1" applyFill="1"/>
    <xf numFmtId="168" fontId="21" fillId="331" borderId="0" xfId="0" applyNumberFormat="1" applyFont="1" applyFill="1"/>
    <xf numFmtId="168" fontId="21" fillId="332" borderId="0" xfId="0" applyNumberFormat="1" applyFont="1" applyFill="1"/>
    <xf numFmtId="168" fontId="21" fillId="333" borderId="0" xfId="0" applyNumberFormat="1" applyFont="1" applyFill="1"/>
    <xf numFmtId="168" fontId="21" fillId="334" borderId="0" xfId="0" applyNumberFormat="1" applyFont="1" applyFill="1"/>
    <xf numFmtId="168" fontId="21" fillId="335" borderId="0" xfId="0" applyNumberFormat="1" applyFont="1" applyFill="1"/>
    <xf numFmtId="168" fontId="21" fillId="336" borderId="0" xfId="0" applyNumberFormat="1" applyFont="1" applyFill="1"/>
    <xf numFmtId="168" fontId="21" fillId="337" borderId="0" xfId="0" applyNumberFormat="1" applyFont="1" applyFill="1"/>
    <xf numFmtId="168" fontId="21" fillId="338" borderId="0" xfId="0" applyNumberFormat="1" applyFont="1" applyFill="1"/>
    <xf numFmtId="168" fontId="21" fillId="339" borderId="0" xfId="0" applyNumberFormat="1" applyFont="1" applyFill="1"/>
    <xf numFmtId="168" fontId="21" fillId="340" borderId="0" xfId="0" applyNumberFormat="1" applyFont="1" applyFill="1"/>
    <xf numFmtId="168" fontId="21" fillId="341" borderId="0" xfId="0" applyNumberFormat="1" applyFont="1" applyFill="1"/>
    <xf numFmtId="168" fontId="21" fillId="342" borderId="0" xfId="0" applyNumberFormat="1" applyFont="1" applyFill="1"/>
    <xf numFmtId="168" fontId="21" fillId="343" borderId="0" xfId="0" applyNumberFormat="1" applyFont="1" applyFill="1"/>
    <xf numFmtId="168" fontId="21" fillId="344" borderId="0" xfId="0" applyNumberFormat="1" applyFont="1" applyFill="1"/>
    <xf numFmtId="168" fontId="21" fillId="345" borderId="0" xfId="0" applyNumberFormat="1" applyFont="1" applyFill="1"/>
    <xf numFmtId="168" fontId="21" fillId="346" borderId="0" xfId="0" applyNumberFormat="1" applyFont="1" applyFill="1"/>
    <xf numFmtId="168" fontId="21" fillId="347" borderId="0" xfId="0" applyNumberFormat="1" applyFont="1" applyFill="1"/>
    <xf numFmtId="168" fontId="21" fillId="348" borderId="0" xfId="0" applyNumberFormat="1" applyFont="1" applyFill="1"/>
    <xf numFmtId="168" fontId="21" fillId="349" borderId="0" xfId="0" applyNumberFormat="1" applyFont="1" applyFill="1"/>
    <xf numFmtId="10" fontId="23" fillId="0" borderId="1" xfId="0" applyNumberFormat="1" applyFont="1" applyBorder="1"/>
    <xf numFmtId="9" fontId="23" fillId="0" borderId="6" xfId="0" applyNumberFormat="1" applyFont="1" applyBorder="1"/>
    <xf numFmtId="9" fontId="21" fillId="350" borderId="0" xfId="0" applyNumberFormat="1" applyFont="1" applyFill="1"/>
    <xf numFmtId="9" fontId="21" fillId="351" borderId="0" xfId="0" applyNumberFormat="1" applyFont="1" applyFill="1"/>
    <xf numFmtId="9" fontId="21" fillId="352" borderId="0" xfId="0" applyNumberFormat="1" applyFont="1" applyFill="1"/>
    <xf numFmtId="9" fontId="21" fillId="203" borderId="0" xfId="0" applyNumberFormat="1" applyFont="1" applyFill="1"/>
    <xf numFmtId="9" fontId="21" fillId="353" borderId="0" xfId="0" applyNumberFormat="1" applyFont="1" applyFill="1"/>
    <xf numFmtId="9" fontId="21" fillId="354" borderId="0" xfId="0" applyNumberFormat="1" applyFont="1" applyFill="1"/>
    <xf numFmtId="9" fontId="21" fillId="355" borderId="0" xfId="0" applyNumberFormat="1" applyFont="1" applyFill="1"/>
    <xf numFmtId="9" fontId="21" fillId="29" borderId="12" xfId="0" applyNumberFormat="1" applyFont="1" applyFill="1" applyBorder="1"/>
    <xf numFmtId="9" fontId="21" fillId="46" borderId="12" xfId="0" applyNumberFormat="1" applyFont="1" applyFill="1" applyBorder="1"/>
    <xf numFmtId="168" fontId="21" fillId="37" borderId="13" xfId="0" applyNumberFormat="1" applyFont="1" applyFill="1" applyBorder="1"/>
    <xf numFmtId="9" fontId="21" fillId="356" borderId="0" xfId="0" applyNumberFormat="1" applyFont="1" applyFill="1"/>
    <xf numFmtId="9" fontId="21" fillId="357" borderId="0" xfId="0" applyNumberFormat="1" applyFont="1" applyFill="1"/>
    <xf numFmtId="9" fontId="21" fillId="358" borderId="0" xfId="0" applyNumberFormat="1" applyFont="1" applyFill="1"/>
    <xf numFmtId="9" fontId="21" fillId="37" borderId="12" xfId="0" applyNumberFormat="1" applyFont="1" applyFill="1" applyBorder="1"/>
    <xf numFmtId="9" fontId="21" fillId="23" borderId="12" xfId="0" applyNumberFormat="1" applyFont="1" applyFill="1" applyBorder="1"/>
    <xf numFmtId="168" fontId="21" fillId="64" borderId="13" xfId="0" applyNumberFormat="1" applyFont="1" applyFill="1" applyBorder="1"/>
    <xf numFmtId="9" fontId="21" fillId="359" borderId="0" xfId="0" applyNumberFormat="1" applyFont="1" applyFill="1"/>
    <xf numFmtId="9" fontId="21" fillId="64" borderId="12" xfId="0" applyNumberFormat="1" applyFont="1" applyFill="1" applyBorder="1"/>
    <xf numFmtId="168" fontId="21" fillId="65" borderId="13" xfId="0" applyNumberFormat="1" applyFont="1" applyFill="1" applyBorder="1"/>
    <xf numFmtId="9" fontId="21" fillId="360" borderId="0" xfId="0" applyNumberFormat="1" applyFont="1" applyFill="1"/>
    <xf numFmtId="9" fontId="21" fillId="361" borderId="0" xfId="0" applyNumberFormat="1" applyFont="1" applyFill="1"/>
    <xf numFmtId="9" fontId="21" fillId="362" borderId="0" xfId="0" applyNumberFormat="1" applyFont="1" applyFill="1"/>
    <xf numFmtId="168" fontId="21" fillId="50" borderId="4" xfId="0" applyNumberFormat="1" applyFont="1" applyFill="1" applyBorder="1"/>
    <xf numFmtId="168" fontId="21" fillId="70" borderId="4" xfId="0" applyNumberFormat="1" applyFont="1" applyFill="1" applyBorder="1"/>
    <xf numFmtId="9" fontId="21" fillId="363" borderId="0" xfId="0" applyNumberFormat="1" applyFont="1" applyFill="1"/>
    <xf numFmtId="9" fontId="21" fillId="364" borderId="0" xfId="0" applyNumberFormat="1" applyFont="1" applyFill="1"/>
    <xf numFmtId="9" fontId="21" fillId="365" borderId="0" xfId="0" applyNumberFormat="1" applyFont="1" applyFill="1"/>
    <xf numFmtId="9" fontId="21" fillId="366" borderId="0" xfId="0" applyNumberFormat="1" applyFont="1" applyFill="1"/>
    <xf numFmtId="9" fontId="21" fillId="367" borderId="0" xfId="0" applyNumberFormat="1" applyFont="1" applyFill="1"/>
    <xf numFmtId="9" fontId="21" fillId="368" borderId="0" xfId="0" applyNumberFormat="1" applyFont="1" applyFill="1"/>
    <xf numFmtId="9" fontId="21" fillId="369" borderId="0" xfId="0" applyNumberFormat="1" applyFont="1" applyFill="1"/>
    <xf numFmtId="9" fontId="21" fillId="370" borderId="0" xfId="0" applyNumberFormat="1" applyFont="1" applyFill="1"/>
    <xf numFmtId="9" fontId="21" fillId="204" borderId="0" xfId="0" applyNumberFormat="1" applyFont="1" applyFill="1"/>
    <xf numFmtId="9" fontId="21" fillId="371" borderId="0" xfId="0" applyNumberFormat="1" applyFont="1" applyFill="1"/>
    <xf numFmtId="9" fontId="21" fillId="372" borderId="0" xfId="0" applyNumberFormat="1" applyFont="1" applyFill="1"/>
    <xf numFmtId="9" fontId="21" fillId="373" borderId="0" xfId="0" applyNumberFormat="1" applyFont="1" applyFill="1"/>
    <xf numFmtId="9" fontId="21" fillId="374" borderId="0" xfId="0" applyNumberFormat="1" applyFont="1" applyFill="1"/>
    <xf numFmtId="9" fontId="21" fillId="375" borderId="0" xfId="0" applyNumberFormat="1" applyFont="1" applyFill="1"/>
    <xf numFmtId="9" fontId="21" fillId="376" borderId="0" xfId="0" applyNumberFormat="1" applyFont="1" applyFill="1"/>
    <xf numFmtId="9" fontId="21" fillId="377" borderId="0" xfId="0" applyNumberFormat="1" applyFont="1" applyFill="1"/>
    <xf numFmtId="9" fontId="21" fillId="378" borderId="0" xfId="0" applyNumberFormat="1" applyFont="1" applyFill="1"/>
    <xf numFmtId="9" fontId="21" fillId="379" borderId="0" xfId="0" applyNumberFormat="1" applyFont="1" applyFill="1"/>
    <xf numFmtId="9" fontId="21" fillId="380" borderId="0" xfId="0" applyNumberFormat="1" applyFont="1" applyFill="1"/>
    <xf numFmtId="9" fontId="21" fillId="381" borderId="0" xfId="0" applyNumberFormat="1" applyFont="1" applyFill="1"/>
    <xf numFmtId="9" fontId="21" fillId="382" borderId="0" xfId="0" applyNumberFormat="1" applyFont="1" applyFill="1"/>
    <xf numFmtId="9" fontId="21" fillId="383" borderId="0" xfId="0" applyNumberFormat="1" applyFont="1" applyFill="1"/>
    <xf numFmtId="9" fontId="21" fillId="384" borderId="0" xfId="0" applyNumberFormat="1" applyFont="1" applyFill="1"/>
    <xf numFmtId="9" fontId="21" fillId="385" borderId="0" xfId="0" applyNumberFormat="1" applyFont="1" applyFill="1"/>
    <xf numFmtId="9" fontId="21" fillId="386" borderId="0" xfId="0" applyNumberFormat="1" applyFont="1" applyFill="1"/>
    <xf numFmtId="9" fontId="21" fillId="387" borderId="0" xfId="0" applyNumberFormat="1" applyFont="1" applyFill="1"/>
    <xf numFmtId="9" fontId="21" fillId="388" borderId="0" xfId="0" applyNumberFormat="1" applyFont="1" applyFill="1"/>
    <xf numFmtId="168" fontId="21" fillId="37" borderId="4" xfId="0" applyNumberFormat="1" applyFont="1" applyFill="1" applyBorder="1"/>
    <xf numFmtId="9" fontId="21" fillId="389" borderId="0" xfId="0" applyNumberFormat="1" applyFont="1" applyFill="1"/>
    <xf numFmtId="9" fontId="21" fillId="390" borderId="0" xfId="0" applyNumberFormat="1" applyFont="1" applyFill="1"/>
    <xf numFmtId="9" fontId="21" fillId="391" borderId="0" xfId="0" applyNumberFormat="1" applyFont="1" applyFill="1"/>
    <xf numFmtId="168" fontId="21" fillId="159" borderId="4" xfId="0" applyNumberFormat="1" applyFont="1" applyFill="1" applyBorder="1"/>
    <xf numFmtId="9" fontId="21" fillId="392" borderId="0" xfId="0" applyNumberFormat="1" applyFont="1" applyFill="1"/>
    <xf numFmtId="9" fontId="21" fillId="393" borderId="0" xfId="0" applyNumberFormat="1" applyFont="1" applyFill="1"/>
    <xf numFmtId="9" fontId="21" fillId="394" borderId="0" xfId="0" applyNumberFormat="1" applyFont="1" applyFill="1"/>
    <xf numFmtId="9" fontId="21" fillId="395" borderId="0" xfId="0" applyNumberFormat="1" applyFont="1" applyFill="1"/>
    <xf numFmtId="9" fontId="21" fillId="202" borderId="0" xfId="0" applyNumberFormat="1" applyFont="1" applyFill="1"/>
    <xf numFmtId="9" fontId="21" fillId="396" borderId="0" xfId="0" applyNumberFormat="1" applyFont="1" applyFill="1"/>
    <xf numFmtId="168" fontId="21" fillId="46" borderId="4" xfId="0" applyNumberFormat="1" applyFont="1" applyFill="1" applyBorder="1"/>
    <xf numFmtId="168" fontId="21" fillId="29" borderId="4" xfId="0" applyNumberFormat="1" applyFont="1" applyFill="1" applyBorder="1"/>
    <xf numFmtId="9" fontId="21" fillId="397" borderId="0" xfId="0" applyNumberFormat="1" applyFont="1" applyFill="1"/>
    <xf numFmtId="9" fontId="21" fillId="398" borderId="0" xfId="0" applyNumberFormat="1" applyFont="1" applyFill="1"/>
    <xf numFmtId="9" fontId="21" fillId="399" borderId="0" xfId="0" applyNumberFormat="1" applyFont="1" applyFill="1"/>
    <xf numFmtId="9" fontId="21" fillId="400" borderId="0" xfId="0" applyNumberFormat="1" applyFont="1" applyFill="1"/>
    <xf numFmtId="9" fontId="21" fillId="401" borderId="0" xfId="0" applyNumberFormat="1" applyFont="1" applyFill="1"/>
    <xf numFmtId="9" fontId="21" fillId="402" borderId="0" xfId="0" applyNumberFormat="1" applyFont="1" applyFill="1"/>
    <xf numFmtId="9" fontId="21" fillId="403" borderId="0" xfId="0" applyNumberFormat="1" applyFont="1" applyFill="1"/>
    <xf numFmtId="9" fontId="21" fillId="404" borderId="0" xfId="0" applyNumberFormat="1" applyFont="1" applyFill="1"/>
    <xf numFmtId="9" fontId="21" fillId="405" borderId="0" xfId="0" applyNumberFormat="1" applyFont="1" applyFill="1"/>
    <xf numFmtId="9" fontId="21" fillId="406" borderId="0" xfId="0" applyNumberFormat="1" applyFont="1" applyFill="1"/>
    <xf numFmtId="9" fontId="21" fillId="407" borderId="0" xfId="0" applyNumberFormat="1" applyFont="1" applyFill="1"/>
    <xf numFmtId="9" fontId="21" fillId="408" borderId="0" xfId="0" applyNumberFormat="1" applyFont="1" applyFill="1"/>
    <xf numFmtId="9" fontId="21" fillId="409" borderId="0" xfId="0" applyNumberFormat="1" applyFont="1" applyFill="1"/>
    <xf numFmtId="9" fontId="21" fillId="410" borderId="0" xfId="0" applyNumberFormat="1" applyFont="1" applyFill="1"/>
    <xf numFmtId="9" fontId="21" fillId="411" borderId="0" xfId="0" applyNumberFormat="1" applyFont="1" applyFill="1"/>
    <xf numFmtId="9" fontId="21" fillId="412" borderId="0" xfId="0" applyNumberFormat="1" applyFont="1" applyFill="1"/>
    <xf numFmtId="9" fontId="21" fillId="413" borderId="0" xfId="0" applyNumberFormat="1" applyFont="1" applyFill="1"/>
    <xf numFmtId="9" fontId="21" fillId="414" borderId="0" xfId="0" applyNumberFormat="1" applyFont="1" applyFill="1"/>
    <xf numFmtId="9" fontId="21" fillId="415" borderId="0" xfId="0" applyNumberFormat="1" applyFont="1" applyFill="1"/>
    <xf numFmtId="9" fontId="21" fillId="416" borderId="0" xfId="0" applyNumberFormat="1" applyFont="1" applyFill="1"/>
    <xf numFmtId="9" fontId="21" fillId="417" borderId="0" xfId="0" applyNumberFormat="1" applyFont="1" applyFill="1"/>
    <xf numFmtId="9" fontId="21" fillId="418" borderId="0" xfId="0" applyNumberFormat="1" applyFont="1" applyFill="1"/>
    <xf numFmtId="9" fontId="21" fillId="419" borderId="0" xfId="0" applyNumberFormat="1" applyFont="1" applyFill="1"/>
    <xf numFmtId="9" fontId="21" fillId="420" borderId="0" xfId="0" applyNumberFormat="1" applyFont="1" applyFill="1"/>
    <xf numFmtId="9" fontId="21" fillId="421" borderId="0" xfId="0" applyNumberFormat="1" applyFont="1" applyFill="1"/>
    <xf numFmtId="9" fontId="21" fillId="196" borderId="0" xfId="0" applyNumberFormat="1" applyFont="1" applyFill="1"/>
    <xf numFmtId="9" fontId="21" fillId="422" borderId="0" xfId="0" applyNumberFormat="1" applyFont="1" applyFill="1"/>
    <xf numFmtId="9" fontId="21" fillId="423" borderId="0" xfId="0" applyNumberFormat="1" applyFont="1" applyFill="1"/>
    <xf numFmtId="9" fontId="21" fillId="424" borderId="0" xfId="0" applyNumberFormat="1" applyFont="1" applyFill="1"/>
    <xf numFmtId="9" fontId="21" fillId="425" borderId="0" xfId="0" applyNumberFormat="1" applyFont="1" applyFill="1"/>
    <xf numFmtId="168" fontId="21" fillId="132" borderId="4" xfId="0" applyNumberFormat="1" applyFont="1" applyFill="1" applyBorder="1"/>
    <xf numFmtId="9" fontId="21" fillId="426" borderId="0" xfId="0" applyNumberFormat="1" applyFont="1" applyFill="1"/>
    <xf numFmtId="9" fontId="21" fillId="427" borderId="0" xfId="0" applyNumberFormat="1" applyFont="1" applyFill="1"/>
    <xf numFmtId="9" fontId="21" fillId="428" borderId="0" xfId="0" applyNumberFormat="1" applyFont="1" applyFill="1"/>
    <xf numFmtId="9" fontId="21" fillId="429" borderId="0" xfId="0" applyNumberFormat="1" applyFont="1" applyFill="1"/>
    <xf numFmtId="9" fontId="21" fillId="430" borderId="0" xfId="0" applyNumberFormat="1" applyFont="1" applyFill="1"/>
    <xf numFmtId="9" fontId="21" fillId="197" borderId="0" xfId="0" applyNumberFormat="1" applyFont="1" applyFill="1"/>
    <xf numFmtId="9" fontId="21" fillId="431" borderId="0" xfId="0" applyNumberFormat="1" applyFont="1" applyFill="1"/>
    <xf numFmtId="9" fontId="21" fillId="200" borderId="0" xfId="0" applyNumberFormat="1" applyFont="1" applyFill="1"/>
    <xf numFmtId="9" fontId="21" fillId="432" borderId="0" xfId="0" applyNumberFormat="1" applyFont="1" applyFill="1"/>
    <xf numFmtId="9" fontId="21" fillId="433" borderId="0" xfId="0" applyNumberFormat="1" applyFont="1" applyFill="1"/>
    <xf numFmtId="9" fontId="21" fillId="434" borderId="0" xfId="0" applyNumberFormat="1" applyFont="1" applyFill="1"/>
    <xf numFmtId="9" fontId="21" fillId="199" borderId="0" xfId="0" applyNumberFormat="1" applyFont="1" applyFill="1"/>
    <xf numFmtId="9" fontId="21" fillId="435" borderId="0" xfId="0" applyNumberFormat="1" applyFont="1" applyFill="1"/>
    <xf numFmtId="9" fontId="21" fillId="237" borderId="0" xfId="0" applyNumberFormat="1" applyFont="1" applyFill="1"/>
    <xf numFmtId="9" fontId="21" fillId="436" borderId="0" xfId="0" applyNumberFormat="1" applyFont="1" applyFill="1"/>
    <xf numFmtId="9" fontId="21" fillId="437" borderId="0" xfId="0" applyNumberFormat="1" applyFont="1" applyFill="1"/>
    <xf numFmtId="9" fontId="21" fillId="438" borderId="0" xfId="0" applyNumberFormat="1" applyFont="1" applyFill="1"/>
    <xf numFmtId="9" fontId="21" fillId="198" borderId="0" xfId="0" applyNumberFormat="1" applyFont="1" applyFill="1"/>
    <xf numFmtId="168" fontId="21" fillId="23" borderId="4" xfId="0" applyNumberFormat="1" applyFont="1" applyFill="1" applyBorder="1"/>
    <xf numFmtId="9" fontId="21" fillId="439" borderId="0" xfId="0" applyNumberFormat="1" applyFont="1" applyFill="1"/>
    <xf numFmtId="168" fontId="21" fillId="64" borderId="4" xfId="0" applyNumberFormat="1" applyFont="1" applyFill="1" applyBorder="1"/>
    <xf numFmtId="9" fontId="23" fillId="16" borderId="1" xfId="0" applyNumberFormat="1" applyFont="1" applyFill="1" applyBorder="1"/>
    <xf numFmtId="9" fontId="23" fillId="123" borderId="1" xfId="0" applyNumberFormat="1" applyFont="1" applyFill="1" applyBorder="1"/>
    <xf numFmtId="9" fontId="23" fillId="117" borderId="1" xfId="0" applyNumberFormat="1" applyFont="1" applyFill="1" applyBorder="1"/>
    <xf numFmtId="9" fontId="23" fillId="33" borderId="1" xfId="0" applyNumberFormat="1" applyFont="1" applyFill="1" applyBorder="1"/>
    <xf numFmtId="9" fontId="23" fillId="18" borderId="1" xfId="0" applyNumberFormat="1" applyFont="1" applyFill="1" applyBorder="1"/>
    <xf numFmtId="9" fontId="23" fillId="183" borderId="1" xfId="0" applyNumberFormat="1" applyFont="1" applyFill="1" applyBorder="1"/>
    <xf numFmtId="9" fontId="23" fillId="170" borderId="1" xfId="0" applyNumberFormat="1" applyFont="1" applyFill="1" applyBorder="1"/>
    <xf numFmtId="9" fontId="23" fillId="401" borderId="1" xfId="0" applyNumberFormat="1" applyFont="1" applyFill="1" applyBorder="1"/>
    <xf numFmtId="9" fontId="23" fillId="69" borderId="1" xfId="0" applyNumberFormat="1" applyFont="1" applyFill="1" applyBorder="1"/>
    <xf numFmtId="9" fontId="23" fillId="156" borderId="1" xfId="0" applyNumberFormat="1" applyFont="1" applyFill="1" applyBorder="1"/>
    <xf numFmtId="9" fontId="23" fillId="90" borderId="1" xfId="0" applyNumberFormat="1" applyFont="1" applyFill="1" applyBorder="1"/>
    <xf numFmtId="9" fontId="23" fillId="426" borderId="1" xfId="0" applyNumberFormat="1" applyFont="1" applyFill="1" applyBorder="1"/>
    <xf numFmtId="9" fontId="23" fillId="84" borderId="1" xfId="0" applyNumberFormat="1" applyFont="1" applyFill="1" applyBorder="1"/>
    <xf numFmtId="9" fontId="23" fillId="107" borderId="1" xfId="0" applyNumberFormat="1" applyFont="1" applyFill="1" applyBorder="1"/>
    <xf numFmtId="9" fontId="23" fillId="161" borderId="1" xfId="0" applyNumberFormat="1" applyFont="1" applyFill="1" applyBorder="1"/>
    <xf numFmtId="9" fontId="23" fillId="42" borderId="1" xfId="0" applyNumberFormat="1" applyFont="1" applyFill="1" applyBorder="1"/>
    <xf numFmtId="9" fontId="23" fillId="75" borderId="1" xfId="0" applyNumberFormat="1" applyFont="1" applyFill="1" applyBorder="1"/>
    <xf numFmtId="9" fontId="23" fillId="34" borderId="1" xfId="0" applyNumberFormat="1" applyFont="1" applyFill="1" applyBorder="1"/>
    <xf numFmtId="9" fontId="23" fillId="67" borderId="1" xfId="0" applyNumberFormat="1" applyFont="1" applyFill="1" applyBorder="1"/>
    <xf numFmtId="9" fontId="23" fillId="371" borderId="1" xfId="0" applyNumberFormat="1" applyFont="1" applyFill="1" applyBorder="1"/>
    <xf numFmtId="9" fontId="23" fillId="394" borderId="1" xfId="0" applyNumberFormat="1" applyFont="1" applyFill="1" applyBorder="1"/>
    <xf numFmtId="9" fontId="23" fillId="21" borderId="1" xfId="0" applyNumberFormat="1" applyFont="1" applyFill="1" applyBorder="1"/>
    <xf numFmtId="9" fontId="23" fillId="168" borderId="1" xfId="0" applyNumberFormat="1" applyFont="1" applyFill="1" applyBorder="1"/>
    <xf numFmtId="9" fontId="23" fillId="54" borderId="1" xfId="0" applyNumberFormat="1" applyFont="1" applyFill="1" applyBorder="1"/>
    <xf numFmtId="9" fontId="23" fillId="367" borderId="1" xfId="0" applyNumberFormat="1" applyFont="1" applyFill="1" applyBorder="1"/>
    <xf numFmtId="9" fontId="23" fillId="81" borderId="1" xfId="0" applyNumberFormat="1" applyFont="1" applyFill="1" applyBorder="1"/>
    <xf numFmtId="9" fontId="23" fillId="157" borderId="1" xfId="0" applyNumberFormat="1" applyFont="1" applyFill="1" applyBorder="1"/>
    <xf numFmtId="9" fontId="23" fillId="99" borderId="1" xfId="0" applyNumberFormat="1" applyFont="1" applyFill="1" applyBorder="1"/>
    <xf numFmtId="9" fontId="23" fillId="76" borderId="1" xfId="0" applyNumberFormat="1" applyFont="1" applyFill="1" applyBorder="1"/>
    <xf numFmtId="9" fontId="23" fillId="418" borderId="1" xfId="0" applyNumberFormat="1" applyFont="1" applyFill="1" applyBorder="1"/>
    <xf numFmtId="9" fontId="23" fillId="190" borderId="1" xfId="0" applyNumberFormat="1" applyFont="1" applyFill="1" applyBorder="1"/>
    <xf numFmtId="9" fontId="23" fillId="166" borderId="1" xfId="0" applyNumberFormat="1" applyFont="1" applyFill="1" applyBorder="1"/>
    <xf numFmtId="9" fontId="23" fillId="74" borderId="1" xfId="0" applyNumberFormat="1" applyFont="1" applyFill="1" applyBorder="1"/>
    <xf numFmtId="9" fontId="23" fillId="356" borderId="1" xfId="0" applyNumberFormat="1" applyFont="1" applyFill="1" applyBorder="1"/>
    <xf numFmtId="9" fontId="23" fillId="17" borderId="1" xfId="0" applyNumberFormat="1" applyFont="1" applyFill="1" applyBorder="1"/>
    <xf numFmtId="9" fontId="23" fillId="82" borderId="1" xfId="0" applyNumberFormat="1" applyFont="1" applyFill="1" applyBorder="1"/>
    <xf numFmtId="9" fontId="23" fillId="182" borderId="1" xfId="0" applyNumberFormat="1" applyFont="1" applyFill="1" applyBorder="1"/>
    <xf numFmtId="9" fontId="23" fillId="189" borderId="1" xfId="0" applyNumberFormat="1" applyFont="1" applyFill="1" applyBorder="1"/>
    <xf numFmtId="9" fontId="23" fillId="428" borderId="1" xfId="0" applyNumberFormat="1" applyFont="1" applyFill="1" applyBorder="1"/>
    <xf numFmtId="9" fontId="23" fillId="136" borderId="1" xfId="0" applyNumberFormat="1" applyFont="1" applyFill="1" applyBorder="1"/>
    <xf numFmtId="9" fontId="23" fillId="440" borderId="1" xfId="0" applyNumberFormat="1" applyFont="1" applyFill="1" applyBorder="1"/>
    <xf numFmtId="9" fontId="23" fillId="100" borderId="1" xfId="0" applyNumberFormat="1" applyFont="1" applyFill="1" applyBorder="1"/>
    <xf numFmtId="9" fontId="23" fillId="375" borderId="1" xfId="0" applyNumberFormat="1" applyFont="1" applyFill="1" applyBorder="1"/>
    <xf numFmtId="168" fontId="21" fillId="441" borderId="0" xfId="0" applyNumberFormat="1" applyFont="1" applyFill="1"/>
    <xf numFmtId="168" fontId="21" fillId="442" borderId="0" xfId="0" applyNumberFormat="1" applyFont="1" applyFill="1"/>
    <xf numFmtId="168" fontId="21" fillId="443" borderId="0" xfId="0" applyNumberFormat="1" applyFont="1" applyFill="1"/>
    <xf numFmtId="168" fontId="21" fillId="444" borderId="0" xfId="0" applyNumberFormat="1" applyFont="1" applyFill="1"/>
    <xf numFmtId="168" fontId="21" fillId="445" borderId="0" xfId="0" applyNumberFormat="1" applyFont="1" applyFill="1"/>
    <xf numFmtId="168" fontId="21" fillId="446" borderId="0" xfId="0" applyNumberFormat="1" applyFont="1" applyFill="1"/>
    <xf numFmtId="168" fontId="21" fillId="447" borderId="0" xfId="0" applyNumberFormat="1" applyFont="1" applyFill="1"/>
    <xf numFmtId="168" fontId="21" fillId="448" borderId="0" xfId="0" applyNumberFormat="1" applyFont="1" applyFill="1"/>
    <xf numFmtId="168" fontId="21" fillId="449" borderId="13" xfId="0" applyNumberFormat="1" applyFont="1" applyFill="1" applyBorder="1"/>
    <xf numFmtId="168" fontId="21" fillId="450" borderId="0" xfId="0" applyNumberFormat="1" applyFont="1" applyFill="1"/>
    <xf numFmtId="168" fontId="21" fillId="451" borderId="0" xfId="0" applyNumberFormat="1" applyFont="1" applyFill="1"/>
    <xf numFmtId="168" fontId="21" fillId="452" borderId="0" xfId="0" applyNumberFormat="1" applyFont="1" applyFill="1"/>
    <xf numFmtId="168" fontId="21" fillId="453" borderId="0" xfId="0" applyNumberFormat="1" applyFont="1" applyFill="1"/>
    <xf numFmtId="168" fontId="21" fillId="330" borderId="4" xfId="0" applyNumberFormat="1" applyFont="1" applyFill="1" applyBorder="1"/>
    <xf numFmtId="168" fontId="21" fillId="454" borderId="0" xfId="0" applyNumberFormat="1" applyFont="1" applyFill="1"/>
    <xf numFmtId="168" fontId="21" fillId="441" borderId="4" xfId="0" applyNumberFormat="1" applyFont="1" applyFill="1" applyBorder="1"/>
    <xf numFmtId="168" fontId="21" fillId="455" borderId="0" xfId="0" applyNumberFormat="1" applyFont="1" applyFill="1"/>
    <xf numFmtId="168" fontId="21" fillId="456" borderId="0" xfId="0" applyNumberFormat="1" applyFont="1" applyFill="1"/>
    <xf numFmtId="168" fontId="21" fillId="457" borderId="0" xfId="0" applyNumberFormat="1" applyFont="1" applyFill="1"/>
    <xf numFmtId="168" fontId="21" fillId="94" borderId="4" xfId="0" applyNumberFormat="1" applyFont="1" applyFill="1" applyBorder="1"/>
    <xf numFmtId="168" fontId="21" fillId="458" borderId="0" xfId="0" applyNumberFormat="1" applyFont="1" applyFill="1"/>
    <xf numFmtId="168" fontId="21" fillId="459" borderId="0" xfId="0" applyNumberFormat="1" applyFont="1" applyFill="1"/>
    <xf numFmtId="168" fontId="21" fillId="460" borderId="0" xfId="0" applyNumberFormat="1" applyFont="1" applyFill="1"/>
    <xf numFmtId="168" fontId="21" fillId="461" borderId="0" xfId="0" applyNumberFormat="1" applyFont="1" applyFill="1"/>
    <xf numFmtId="168" fontId="21" fillId="462" borderId="0" xfId="0" applyNumberFormat="1" applyFont="1" applyFill="1"/>
    <xf numFmtId="168" fontId="21" fillId="463" borderId="0" xfId="0" applyNumberFormat="1" applyFont="1" applyFill="1"/>
    <xf numFmtId="168" fontId="21" fillId="464" borderId="0" xfId="0" applyNumberFormat="1" applyFont="1" applyFill="1"/>
    <xf numFmtId="168" fontId="21" fillId="465" borderId="0" xfId="0" applyNumberFormat="1" applyFont="1" applyFill="1"/>
    <xf numFmtId="168" fontId="21" fillId="466" borderId="0" xfId="0" applyNumberFormat="1" applyFont="1" applyFill="1"/>
    <xf numFmtId="168" fontId="21" fillId="467" borderId="0" xfId="0" applyNumberFormat="1" applyFont="1" applyFill="1"/>
    <xf numFmtId="168" fontId="21" fillId="468" borderId="0" xfId="0" applyNumberFormat="1" applyFont="1" applyFill="1"/>
    <xf numFmtId="168" fontId="21" fillId="469" borderId="0" xfId="0" applyNumberFormat="1" applyFont="1" applyFill="1"/>
    <xf numFmtId="168" fontId="21" fillId="470" borderId="0" xfId="0" applyNumberFormat="1" applyFont="1" applyFill="1"/>
    <xf numFmtId="168" fontId="21" fillId="471" borderId="0" xfId="0" applyNumberFormat="1" applyFont="1" applyFill="1"/>
    <xf numFmtId="168" fontId="21" fillId="472" borderId="0" xfId="0" applyNumberFormat="1" applyFont="1" applyFill="1"/>
    <xf numFmtId="168" fontId="21" fillId="473" borderId="0" xfId="0" applyNumberFormat="1" applyFont="1" applyFill="1"/>
    <xf numFmtId="168" fontId="21" fillId="474" borderId="0" xfId="0" applyNumberFormat="1" applyFont="1" applyFill="1"/>
    <xf numFmtId="168" fontId="21" fillId="475" borderId="0" xfId="0" applyNumberFormat="1" applyFont="1" applyFill="1"/>
    <xf numFmtId="168" fontId="21" fillId="476" borderId="0" xfId="0" applyNumberFormat="1" applyFont="1" applyFill="1"/>
    <xf numFmtId="168" fontId="21" fillId="477" borderId="0" xfId="0" applyNumberFormat="1" applyFont="1" applyFill="1"/>
    <xf numFmtId="168" fontId="21" fillId="478" borderId="0" xfId="0" applyNumberFormat="1" applyFont="1" applyFill="1"/>
    <xf numFmtId="168" fontId="21" fillId="479" borderId="0" xfId="0" applyNumberFormat="1" applyFont="1" applyFill="1"/>
    <xf numFmtId="168" fontId="21" fillId="480" borderId="0" xfId="0" applyNumberFormat="1" applyFont="1" applyFill="1"/>
    <xf numFmtId="168" fontId="21" fillId="481" borderId="0" xfId="0" applyNumberFormat="1" applyFont="1" applyFill="1"/>
    <xf numFmtId="168" fontId="21" fillId="482" borderId="0" xfId="0" applyNumberFormat="1" applyFont="1" applyFill="1"/>
    <xf numFmtId="168" fontId="21" fillId="403" borderId="0" xfId="0" applyNumberFormat="1" applyFont="1" applyFill="1"/>
    <xf numFmtId="168" fontId="21" fillId="483" borderId="0" xfId="0" applyNumberFormat="1" applyFont="1" applyFill="1"/>
    <xf numFmtId="168" fontId="21" fillId="484" borderId="0" xfId="0" applyNumberFormat="1" applyFont="1" applyFill="1"/>
    <xf numFmtId="168" fontId="21" fillId="438" borderId="0" xfId="0" applyNumberFormat="1" applyFont="1" applyFill="1"/>
    <xf numFmtId="168" fontId="21" fillId="485" borderId="0" xfId="0" applyNumberFormat="1" applyFont="1" applyFill="1"/>
    <xf numFmtId="168" fontId="21" fillId="438" borderId="4" xfId="0" applyNumberFormat="1" applyFont="1" applyFill="1" applyBorder="1"/>
    <xf numFmtId="168" fontId="21" fillId="486" borderId="0" xfId="0" applyNumberFormat="1" applyFont="1" applyFill="1"/>
    <xf numFmtId="168" fontId="21" fillId="487" borderId="0" xfId="0" applyNumberFormat="1" applyFont="1" applyFill="1"/>
    <xf numFmtId="168" fontId="21" fillId="206" borderId="4" xfId="0" applyNumberFormat="1" applyFont="1" applyFill="1" applyBorder="1"/>
    <xf numFmtId="168" fontId="21" fillId="488" borderId="0" xfId="0" applyNumberFormat="1" applyFont="1" applyFill="1"/>
    <xf numFmtId="168" fontId="21" fillId="489" borderId="0" xfId="0" applyNumberFormat="1" applyFont="1" applyFill="1"/>
    <xf numFmtId="168" fontId="21" fillId="490" borderId="0" xfId="0" applyNumberFormat="1" applyFont="1" applyFill="1"/>
    <xf numFmtId="168" fontId="21" fillId="303" borderId="4" xfId="0" applyNumberFormat="1" applyFont="1" applyFill="1" applyBorder="1"/>
    <xf numFmtId="168" fontId="21" fillId="328" borderId="4" xfId="0" applyNumberFormat="1" applyFont="1" applyFill="1" applyBorder="1"/>
    <xf numFmtId="168" fontId="21" fillId="491" borderId="4" xfId="0" applyNumberFormat="1" applyFont="1" applyFill="1" applyBorder="1"/>
    <xf numFmtId="168" fontId="21" fillId="492" borderId="0" xfId="0" applyNumberFormat="1" applyFont="1" applyFill="1"/>
    <xf numFmtId="168" fontId="21" fillId="493" borderId="4" xfId="0" applyNumberFormat="1" applyFont="1" applyFill="1" applyBorder="1"/>
    <xf numFmtId="168" fontId="21" fillId="494" borderId="0" xfId="0" applyNumberFormat="1" applyFont="1" applyFill="1"/>
    <xf numFmtId="168" fontId="21" fillId="495" borderId="0" xfId="0" applyNumberFormat="1" applyFont="1" applyFill="1"/>
    <xf numFmtId="168" fontId="21" fillId="496" borderId="0" xfId="0" applyNumberFormat="1" applyFont="1" applyFill="1"/>
    <xf numFmtId="168" fontId="21" fillId="48" borderId="4" xfId="0" applyNumberFormat="1" applyFont="1" applyFill="1" applyBorder="1"/>
    <xf numFmtId="168" fontId="21" fillId="497" borderId="0" xfId="0" applyNumberFormat="1" applyFont="1" applyFill="1"/>
    <xf numFmtId="168" fontId="21" fillId="498" borderId="0" xfId="0" applyNumberFormat="1" applyFont="1" applyFill="1"/>
    <xf numFmtId="168" fontId="21" fillId="346" borderId="4" xfId="0" applyNumberFormat="1" applyFont="1" applyFill="1" applyBorder="1"/>
    <xf numFmtId="168" fontId="21" fillId="457" borderId="4" xfId="0" applyNumberFormat="1" applyFont="1" applyFill="1" applyBorder="1"/>
    <xf numFmtId="168" fontId="21" fillId="308" borderId="4" xfId="0" applyNumberFormat="1" applyFont="1" applyFill="1" applyBorder="1"/>
    <xf numFmtId="168" fontId="21" fillId="245" borderId="4" xfId="0" applyNumberFormat="1" applyFont="1" applyFill="1" applyBorder="1"/>
    <xf numFmtId="168" fontId="21" fillId="499" borderId="0" xfId="0" applyNumberFormat="1" applyFont="1" applyFill="1"/>
    <xf numFmtId="168" fontId="21" fillId="500" borderId="0" xfId="0" applyNumberFormat="1" applyFont="1" applyFill="1"/>
    <xf numFmtId="168" fontId="21" fillId="501" borderId="0" xfId="0" applyNumberFormat="1" applyFont="1" applyFill="1"/>
    <xf numFmtId="168" fontId="21" fillId="502" borderId="0" xfId="0" applyNumberFormat="1" applyFont="1" applyFill="1"/>
    <xf numFmtId="168" fontId="21" fillId="503" borderId="0" xfId="0" applyNumberFormat="1" applyFont="1" applyFill="1"/>
    <xf numFmtId="168" fontId="21" fillId="504" borderId="0" xfId="0" applyNumberFormat="1" applyFont="1" applyFill="1"/>
    <xf numFmtId="168" fontId="21" fillId="505" borderId="0" xfId="0" applyNumberFormat="1" applyFont="1" applyFill="1"/>
    <xf numFmtId="168" fontId="21" fillId="506" borderId="0" xfId="0" applyNumberFormat="1" applyFont="1" applyFill="1"/>
    <xf numFmtId="168" fontId="21" fillId="507" borderId="0" xfId="0" applyNumberFormat="1" applyFont="1" applyFill="1"/>
    <xf numFmtId="168" fontId="21" fillId="508" borderId="0" xfId="0" applyNumberFormat="1" applyFont="1" applyFill="1"/>
    <xf numFmtId="168" fontId="21" fillId="501" borderId="4" xfId="0" applyNumberFormat="1" applyFont="1" applyFill="1" applyBorder="1"/>
    <xf numFmtId="168" fontId="21" fillId="509" borderId="0" xfId="0" applyNumberFormat="1" applyFont="1" applyFill="1"/>
    <xf numFmtId="168" fontId="21" fillId="493" borderId="0" xfId="0" applyNumberFormat="1" applyFont="1" applyFill="1"/>
    <xf numFmtId="168" fontId="21" fillId="510" borderId="0" xfId="0" applyNumberFormat="1" applyFont="1" applyFill="1"/>
    <xf numFmtId="168" fontId="21" fillId="511" borderId="0" xfId="0" applyNumberFormat="1" applyFont="1" applyFill="1"/>
    <xf numFmtId="168" fontId="21" fillId="512" borderId="0" xfId="0" applyNumberFormat="1" applyFont="1" applyFill="1"/>
    <xf numFmtId="168" fontId="21" fillId="513" borderId="0" xfId="0" applyNumberFormat="1" applyFont="1" applyFill="1"/>
    <xf numFmtId="168" fontId="21" fillId="503" borderId="4" xfId="0" applyNumberFormat="1" applyFont="1" applyFill="1" applyBorder="1"/>
    <xf numFmtId="168" fontId="21" fillId="269" borderId="4" xfId="0" applyNumberFormat="1" applyFont="1" applyFill="1" applyBorder="1"/>
    <xf numFmtId="168" fontId="21" fillId="514" borderId="0" xfId="0" applyNumberFormat="1" applyFont="1" applyFill="1"/>
    <xf numFmtId="168" fontId="21" fillId="464" borderId="4" xfId="0" applyNumberFormat="1" applyFont="1" applyFill="1" applyBorder="1"/>
    <xf numFmtId="9" fontId="21" fillId="515" borderId="0" xfId="0" applyNumberFormat="1" applyFont="1" applyFill="1"/>
    <xf numFmtId="9" fontId="21" fillId="516" borderId="0" xfId="0" applyNumberFormat="1" applyFont="1" applyFill="1"/>
    <xf numFmtId="9" fontId="21" fillId="68" borderId="12" xfId="0" applyNumberFormat="1" applyFont="1" applyFill="1" applyBorder="1"/>
    <xf numFmtId="9" fontId="21" fillId="396" borderId="12" xfId="0" applyNumberFormat="1" applyFont="1" applyFill="1" applyBorder="1"/>
    <xf numFmtId="9" fontId="21" fillId="199" borderId="12" xfId="0" applyNumberFormat="1" applyFont="1" applyFill="1" applyBorder="1"/>
    <xf numFmtId="168" fontId="21" fillId="139" borderId="13" xfId="0" applyNumberFormat="1" applyFont="1" applyFill="1" applyBorder="1"/>
    <xf numFmtId="9" fontId="21" fillId="363" borderId="12" xfId="0" applyNumberFormat="1" applyFont="1" applyFill="1" applyBorder="1"/>
    <xf numFmtId="9" fontId="21" fillId="27" borderId="12" xfId="0" applyNumberFormat="1" applyFont="1" applyFill="1" applyBorder="1"/>
    <xf numFmtId="9" fontId="21" fillId="36" borderId="12" xfId="0" applyNumberFormat="1" applyFont="1" applyFill="1" applyBorder="1"/>
    <xf numFmtId="168" fontId="21" fillId="45" borderId="13" xfId="0" applyNumberFormat="1" applyFont="1" applyFill="1" applyBorder="1"/>
    <xf numFmtId="9" fontId="21" fillId="85" borderId="12" xfId="0" applyNumberFormat="1" applyFont="1" applyFill="1" applyBorder="1"/>
    <xf numFmtId="9" fontId="21" fillId="190" borderId="12" xfId="0" applyNumberFormat="1" applyFont="1" applyFill="1" applyBorder="1"/>
    <xf numFmtId="9" fontId="21" fillId="517" borderId="12" xfId="0" applyNumberFormat="1" applyFont="1" applyFill="1" applyBorder="1"/>
    <xf numFmtId="168" fontId="21" fillId="518" borderId="13" xfId="0" applyNumberFormat="1" applyFont="1" applyFill="1" applyBorder="1"/>
    <xf numFmtId="9" fontId="21" fillId="519" borderId="0" xfId="0" applyNumberFormat="1" applyFont="1" applyFill="1"/>
    <xf numFmtId="9" fontId="21" fillId="419" borderId="12" xfId="0" applyNumberFormat="1" applyFont="1" applyFill="1" applyBorder="1"/>
    <xf numFmtId="9" fontId="21" fillId="21" borderId="12" xfId="0" applyNumberFormat="1" applyFont="1" applyFill="1" applyBorder="1"/>
    <xf numFmtId="168" fontId="21" fillId="415" borderId="13" xfId="0" applyNumberFormat="1" applyFont="1" applyFill="1" applyBorder="1"/>
    <xf numFmtId="9" fontId="21" fillId="520" borderId="0" xfId="0" applyNumberFormat="1" applyFont="1" applyFill="1"/>
    <xf numFmtId="9" fontId="21" fillId="521" borderId="0" xfId="0" applyNumberFormat="1" applyFont="1" applyFill="1"/>
    <xf numFmtId="168" fontId="21" fillId="198" borderId="4" xfId="0" applyNumberFormat="1" applyFont="1" applyFill="1" applyBorder="1"/>
    <xf numFmtId="9" fontId="21" fillId="522" borderId="0" xfId="0" applyNumberFormat="1" applyFont="1" applyFill="1"/>
    <xf numFmtId="168" fontId="21" fillId="405" borderId="4" xfId="0" applyNumberFormat="1" applyFont="1" applyFill="1" applyBorder="1"/>
    <xf numFmtId="168" fontId="21" fillId="44" borderId="4" xfId="0" applyNumberFormat="1" applyFont="1" applyFill="1" applyBorder="1"/>
    <xf numFmtId="9" fontId="21" fillId="523" borderId="0" xfId="0" applyNumberFormat="1" applyFont="1" applyFill="1"/>
    <xf numFmtId="168" fontId="21" fillId="179" borderId="4" xfId="0" applyNumberFormat="1" applyFont="1" applyFill="1" applyBorder="1"/>
    <xf numFmtId="168" fontId="21" fillId="127" borderId="4" xfId="0" applyNumberFormat="1" applyFont="1" applyFill="1" applyBorder="1"/>
    <xf numFmtId="9" fontId="21" fillId="524" borderId="0" xfId="0" applyNumberFormat="1" applyFont="1" applyFill="1"/>
    <xf numFmtId="9" fontId="21" fillId="525" borderId="0" xfId="0" applyNumberFormat="1" applyFont="1" applyFill="1"/>
    <xf numFmtId="168" fontId="21" fillId="410" borderId="4" xfId="0" applyNumberFormat="1" applyFont="1" applyFill="1" applyBorder="1"/>
    <xf numFmtId="9" fontId="21" fillId="526" borderId="0" xfId="0" applyNumberFormat="1" applyFont="1" applyFill="1"/>
    <xf numFmtId="168" fontId="21" fillId="140" borderId="4" xfId="0" applyNumberFormat="1" applyFont="1" applyFill="1" applyBorder="1"/>
    <xf numFmtId="168" fontId="21" fillId="189" borderId="4" xfId="0" applyNumberFormat="1" applyFont="1" applyFill="1" applyBorder="1"/>
    <xf numFmtId="168" fontId="21" fillId="34" borderId="4" xfId="0" applyNumberFormat="1" applyFont="1" applyFill="1" applyBorder="1"/>
    <xf numFmtId="9" fontId="21" fillId="201" borderId="0" xfId="0" applyNumberFormat="1" applyFont="1" applyFill="1"/>
    <xf numFmtId="168" fontId="21" fillId="43" borderId="4" xfId="0" applyNumberFormat="1" applyFont="1" applyFill="1" applyBorder="1"/>
    <xf numFmtId="9" fontId="21" fillId="527" borderId="0" xfId="0" applyNumberFormat="1" applyFont="1" applyFill="1"/>
    <xf numFmtId="9" fontId="21" fillId="528" borderId="0" xfId="0" applyNumberFormat="1" applyFont="1" applyFill="1"/>
    <xf numFmtId="168" fontId="21" fillId="197" borderId="4" xfId="0" applyNumberFormat="1" applyFont="1" applyFill="1" applyBorder="1"/>
    <xf numFmtId="9" fontId="21" fillId="529" borderId="0" xfId="0" applyNumberFormat="1" applyFont="1" applyFill="1"/>
    <xf numFmtId="168" fontId="21" fillId="75" borderId="4" xfId="0" applyNumberFormat="1" applyFont="1" applyFill="1" applyBorder="1"/>
    <xf numFmtId="9" fontId="21" fillId="530" borderId="0" xfId="0" applyNumberFormat="1" applyFont="1" applyFill="1"/>
    <xf numFmtId="168" fontId="21" fillId="184" borderId="4" xfId="0" applyNumberFormat="1" applyFont="1" applyFill="1" applyBorder="1"/>
    <xf numFmtId="9" fontId="21" fillId="531" borderId="0" xfId="0" applyNumberFormat="1" applyFont="1" applyFill="1"/>
    <xf numFmtId="9" fontId="21" fillId="532" borderId="0" xfId="0" applyNumberFormat="1" applyFont="1" applyFill="1"/>
    <xf numFmtId="9" fontId="21" fillId="533" borderId="0" xfId="0" applyNumberFormat="1" applyFont="1" applyFill="1"/>
    <xf numFmtId="9" fontId="21" fillId="534" borderId="0" xfId="0" applyNumberFormat="1" applyFont="1" applyFill="1"/>
    <xf numFmtId="168" fontId="21" fillId="141" borderId="4" xfId="0" applyNumberFormat="1" applyFont="1" applyFill="1" applyBorder="1"/>
    <xf numFmtId="168" fontId="21" fillId="168" borderId="4" xfId="0" applyNumberFormat="1" applyFont="1" applyFill="1" applyBorder="1"/>
    <xf numFmtId="9" fontId="21" fillId="535" borderId="0" xfId="0" applyNumberFormat="1" applyFont="1" applyFill="1"/>
    <xf numFmtId="168" fontId="21" fillId="352" borderId="4" xfId="0" applyNumberFormat="1" applyFont="1" applyFill="1" applyBorder="1"/>
    <xf numFmtId="9" fontId="21" fillId="536" borderId="0" xfId="0" applyNumberFormat="1" applyFont="1" applyFill="1"/>
    <xf numFmtId="168" fontId="21" fillId="358" borderId="4" xfId="0" applyNumberFormat="1" applyFont="1" applyFill="1" applyBorder="1"/>
    <xf numFmtId="9" fontId="21" fillId="537" borderId="0" xfId="0" applyNumberFormat="1" applyFont="1" applyFill="1"/>
    <xf numFmtId="9" fontId="21" fillId="538" borderId="0" xfId="0" applyNumberFormat="1" applyFont="1" applyFill="1"/>
    <xf numFmtId="168" fontId="21" fillId="135" borderId="4" xfId="0" applyNumberFormat="1" applyFont="1" applyFill="1" applyBorder="1"/>
    <xf numFmtId="9" fontId="21" fillId="539" borderId="0" xfId="0" applyNumberFormat="1" applyFont="1" applyFill="1"/>
    <xf numFmtId="168" fontId="21" fillId="128" borderId="4" xfId="0" applyNumberFormat="1" applyFont="1" applyFill="1" applyBorder="1"/>
    <xf numFmtId="168" fontId="21" fillId="537" borderId="4" xfId="0" applyNumberFormat="1" applyFont="1" applyFill="1" applyBorder="1"/>
    <xf numFmtId="9" fontId="21" fillId="540" borderId="0" xfId="0" applyNumberFormat="1" applyFont="1" applyFill="1"/>
    <xf numFmtId="9" fontId="21" fillId="440" borderId="0" xfId="0" applyNumberFormat="1" applyFont="1" applyFill="1"/>
    <xf numFmtId="168" fontId="21" fillId="429" borderId="4" xfId="0" applyNumberFormat="1" applyFont="1" applyFill="1" applyBorder="1"/>
    <xf numFmtId="168" fontId="21" fillId="57" borderId="4" xfId="0" applyNumberFormat="1" applyFont="1" applyFill="1" applyBorder="1"/>
    <xf numFmtId="9" fontId="21" fillId="541" borderId="0" xfId="0" applyNumberFormat="1" applyFont="1" applyFill="1"/>
    <xf numFmtId="168" fontId="21" fillId="542" borderId="4" xfId="0" applyNumberFormat="1" applyFont="1" applyFill="1" applyBorder="1"/>
    <xf numFmtId="168" fontId="21" fillId="420" borderId="4" xfId="0" applyNumberFormat="1" applyFont="1" applyFill="1" applyBorder="1"/>
    <xf numFmtId="168" fontId="21" fillId="535" borderId="4" xfId="0" applyNumberFormat="1" applyFont="1" applyFill="1" applyBorder="1"/>
    <xf numFmtId="9" fontId="21" fillId="543" borderId="0" xfId="0" applyNumberFormat="1" applyFont="1" applyFill="1"/>
    <xf numFmtId="168" fontId="21" fillId="536" borderId="4" xfId="0" applyNumberFormat="1" applyFont="1" applyFill="1" applyBorder="1"/>
    <xf numFmtId="168" fontId="21" fillId="432" borderId="4" xfId="0" applyNumberFormat="1" applyFont="1" applyFill="1" applyBorder="1"/>
    <xf numFmtId="168" fontId="21" fillId="172" borderId="4" xfId="0" applyNumberFormat="1" applyFont="1" applyFill="1" applyBorder="1"/>
    <xf numFmtId="168" fontId="21" fillId="93" borderId="4" xfId="0" applyNumberFormat="1" applyFont="1" applyFill="1" applyBorder="1"/>
    <xf numFmtId="168" fontId="21" fillId="412" borderId="4" xfId="0" applyNumberFormat="1" applyFont="1" applyFill="1" applyBorder="1"/>
    <xf numFmtId="9" fontId="23" fillId="519" borderId="1" xfId="0" applyNumberFormat="1" applyFont="1" applyFill="1" applyBorder="1"/>
    <xf numFmtId="9" fontId="23" fillId="521" borderId="1" xfId="0" applyNumberFormat="1" applyFont="1" applyFill="1" applyBorder="1"/>
    <xf numFmtId="9" fontId="23" fillId="176" borderId="1" xfId="0" applyNumberFormat="1" applyFont="1" applyFill="1" applyBorder="1"/>
    <xf numFmtId="9" fontId="23" fillId="386" borderId="1" xfId="0" applyNumberFormat="1" applyFont="1" applyFill="1" applyBorder="1"/>
    <xf numFmtId="9" fontId="23" fillId="103" borderId="1" xfId="0" applyNumberFormat="1" applyFont="1" applyFill="1" applyBorder="1"/>
    <xf numFmtId="9" fontId="23" fillId="133" borderId="1" xfId="0" applyNumberFormat="1" applyFont="1" applyFill="1" applyBorder="1"/>
    <xf numFmtId="9" fontId="23" fillId="127" borderId="1" xfId="0" applyNumberFormat="1" applyFont="1" applyFill="1" applyBorder="1"/>
    <xf numFmtId="9" fontId="23" fillId="135" borderId="1" xfId="0" applyNumberFormat="1" applyFont="1" applyFill="1" applyBorder="1"/>
    <xf numFmtId="9" fontId="23" fillId="435" borderId="1" xfId="0" applyNumberFormat="1" applyFont="1" applyFill="1" applyBorder="1"/>
    <xf numFmtId="9" fontId="23" fillId="373" borderId="1" xfId="0" applyNumberFormat="1" applyFont="1" applyFill="1" applyBorder="1"/>
    <xf numFmtId="9" fontId="23" fillId="149" borderId="1" xfId="0" applyNumberFormat="1" applyFont="1" applyFill="1" applyBorder="1"/>
    <xf numFmtId="168" fontId="23" fillId="26" borderId="6" xfId="0" applyNumberFormat="1" applyFont="1" applyFill="1" applyBorder="1"/>
    <xf numFmtId="9" fontId="23" fillId="25" borderId="1" xfId="0" applyNumberFormat="1" applyFont="1" applyFill="1" applyBorder="1"/>
    <xf numFmtId="9" fontId="23" fillId="544" borderId="1" xfId="0" applyNumberFormat="1" applyFont="1" applyFill="1" applyBorder="1"/>
    <xf numFmtId="9" fontId="23" fillId="185" borderId="1" xfId="0" applyNumberFormat="1" applyFont="1" applyFill="1" applyBorder="1"/>
    <xf numFmtId="9" fontId="23" fillId="126" borderId="1" xfId="0" applyNumberFormat="1" applyFont="1" applyFill="1" applyBorder="1"/>
    <xf numFmtId="9" fontId="23" fillId="393" borderId="1" xfId="0" applyNumberFormat="1" applyFont="1" applyFill="1" applyBorder="1"/>
    <xf numFmtId="9" fontId="23" fillId="362" borderId="1" xfId="0" applyNumberFormat="1" applyFont="1" applyFill="1" applyBorder="1"/>
    <xf numFmtId="9" fontId="23" fillId="438" borderId="1" xfId="0" applyNumberFormat="1" applyFont="1" applyFill="1" applyBorder="1"/>
    <xf numFmtId="9" fontId="23" fillId="178" borderId="1" xfId="0" applyNumberFormat="1" applyFont="1" applyFill="1" applyBorder="1"/>
    <xf numFmtId="9" fontId="23" fillId="171" borderId="1" xfId="0" applyNumberFormat="1" applyFont="1" applyFill="1" applyBorder="1"/>
    <xf numFmtId="9" fontId="23" fillId="410" borderId="1" xfId="0" applyNumberFormat="1" applyFont="1" applyFill="1" applyBorder="1"/>
    <xf numFmtId="9" fontId="23" fillId="541" borderId="1" xfId="0" applyNumberFormat="1" applyFont="1" applyFill="1" applyBorder="1"/>
    <xf numFmtId="168" fontId="23" fillId="405" borderId="6" xfId="0" applyNumberFormat="1" applyFont="1" applyFill="1" applyBorder="1"/>
    <xf numFmtId="9" fontId="23" fillId="43" borderId="1" xfId="0" applyNumberFormat="1" applyFont="1" applyFill="1" applyBorder="1"/>
    <xf numFmtId="9" fontId="23" fillId="19" borderId="1" xfId="0" applyNumberFormat="1" applyFont="1" applyFill="1" applyBorder="1"/>
    <xf numFmtId="9" fontId="23" fillId="169" borderId="1" xfId="0" applyNumberFormat="1" applyFont="1" applyFill="1" applyBorder="1"/>
    <xf numFmtId="9" fontId="23" fillId="114" borderId="1" xfId="0" applyNumberFormat="1" applyFont="1" applyFill="1" applyBorder="1"/>
    <xf numFmtId="9" fontId="23" fillId="538" borderId="1" xfId="0" applyNumberFormat="1" applyFont="1" applyFill="1" applyBorder="1"/>
    <xf numFmtId="9" fontId="23" fillId="391" borderId="1" xfId="0" applyNumberFormat="1" applyFont="1" applyFill="1" applyBorder="1"/>
    <xf numFmtId="9" fontId="23" fillId="539" borderId="1" xfId="0" applyNumberFormat="1" applyFont="1" applyFill="1" applyBorder="1"/>
    <xf numFmtId="9" fontId="23" fillId="432" borderId="1" xfId="0" applyNumberFormat="1" applyFont="1" applyFill="1" applyBorder="1"/>
    <xf numFmtId="9" fontId="23" fillId="162" borderId="1" xfId="0" applyNumberFormat="1" applyFont="1" applyFill="1" applyBorder="1"/>
    <xf numFmtId="168" fontId="23" fillId="399" borderId="6" xfId="0" applyNumberFormat="1" applyFont="1" applyFill="1" applyBorder="1"/>
    <xf numFmtId="168" fontId="21" fillId="545" borderId="0" xfId="0" applyNumberFormat="1" applyFont="1" applyFill="1"/>
    <xf numFmtId="168" fontId="21" fillId="343" borderId="13" xfId="0" applyNumberFormat="1" applyFont="1" applyFill="1" applyBorder="1"/>
    <xf numFmtId="168" fontId="21" fillId="546" borderId="0" xfId="0" applyNumberFormat="1" applyFont="1" applyFill="1"/>
    <xf numFmtId="168" fontId="21" fillId="547" borderId="13" xfId="0" applyNumberFormat="1" applyFont="1" applyFill="1" applyBorder="1"/>
    <xf numFmtId="168" fontId="21" fillId="548" borderId="0" xfId="0" applyNumberFormat="1" applyFont="1" applyFill="1"/>
    <xf numFmtId="168" fontId="21" fillId="549" borderId="0" xfId="0" applyNumberFormat="1" applyFont="1" applyFill="1"/>
    <xf numFmtId="168" fontId="21" fillId="348" borderId="13" xfId="0" applyNumberFormat="1" applyFont="1" applyFill="1" applyBorder="1"/>
    <xf numFmtId="168" fontId="21" fillId="550" borderId="0" xfId="0" applyNumberFormat="1" applyFont="1" applyFill="1"/>
    <xf numFmtId="168" fontId="21" fillId="312" borderId="13" xfId="0" applyNumberFormat="1" applyFont="1" applyFill="1" applyBorder="1"/>
    <xf numFmtId="168" fontId="21" fillId="550" borderId="4" xfId="0" applyNumberFormat="1" applyFont="1" applyFill="1" applyBorder="1"/>
    <xf numFmtId="168" fontId="21" fillId="281" borderId="4" xfId="0" applyNumberFormat="1" applyFont="1" applyFill="1" applyBorder="1"/>
    <xf numFmtId="168" fontId="21" fillId="240" borderId="4" xfId="0" applyNumberFormat="1" applyFont="1" applyFill="1" applyBorder="1"/>
    <xf numFmtId="168" fontId="21" fillId="551" borderId="0" xfId="0" applyNumberFormat="1" applyFont="1" applyFill="1"/>
    <xf numFmtId="168" fontId="21" fillId="552" borderId="0" xfId="0" applyNumberFormat="1" applyFont="1" applyFill="1"/>
    <xf numFmtId="168" fontId="21" fillId="553" borderId="0" xfId="0" applyNumberFormat="1" applyFont="1" applyFill="1"/>
    <xf numFmtId="168" fontId="21" fillId="554" borderId="0" xfId="0" applyNumberFormat="1" applyFont="1" applyFill="1"/>
    <xf numFmtId="168" fontId="21" fillId="555" borderId="0" xfId="0" applyNumberFormat="1" applyFont="1" applyFill="1"/>
    <xf numFmtId="168" fontId="21" fillId="229" borderId="4" xfId="0" applyNumberFormat="1" applyFont="1" applyFill="1" applyBorder="1"/>
    <xf numFmtId="168" fontId="21" fillId="556" borderId="0" xfId="0" applyNumberFormat="1" applyFont="1" applyFill="1"/>
    <xf numFmtId="168" fontId="21" fillId="557" borderId="0" xfId="0" applyNumberFormat="1" applyFont="1" applyFill="1"/>
    <xf numFmtId="168" fontId="21" fillId="202" borderId="0" xfId="0" applyNumberFormat="1" applyFont="1" applyFill="1"/>
    <xf numFmtId="168" fontId="21" fillId="558" borderId="0" xfId="0" applyNumberFormat="1" applyFont="1" applyFill="1"/>
    <xf numFmtId="168" fontId="21" fillId="559" borderId="0" xfId="0" applyNumberFormat="1" applyFont="1" applyFill="1"/>
    <xf numFmtId="168" fontId="21" fillId="560" borderId="0" xfId="0" applyNumberFormat="1" applyFont="1" applyFill="1"/>
    <xf numFmtId="168" fontId="21" fillId="561" borderId="0" xfId="0" applyNumberFormat="1" applyFont="1" applyFill="1"/>
    <xf numFmtId="168" fontId="21" fillId="562" borderId="0" xfId="0" applyNumberFormat="1" applyFont="1" applyFill="1"/>
    <xf numFmtId="168" fontId="21" fillId="222" borderId="4" xfId="0" applyNumberFormat="1" applyFont="1" applyFill="1" applyBorder="1"/>
    <xf numFmtId="168" fontId="21" fillId="563" borderId="0" xfId="0" applyNumberFormat="1" applyFont="1" applyFill="1"/>
    <xf numFmtId="168" fontId="21" fillId="564" borderId="0" xfId="0" applyNumberFormat="1" applyFont="1" applyFill="1"/>
    <xf numFmtId="168" fontId="21" fillId="485" borderId="4" xfId="0" applyNumberFormat="1" applyFont="1" applyFill="1" applyBorder="1"/>
    <xf numFmtId="168" fontId="21" fillId="230" borderId="4" xfId="0" applyNumberFormat="1" applyFont="1" applyFill="1" applyBorder="1"/>
    <xf numFmtId="168" fontId="21" fillId="214" borderId="4" xfId="0" applyNumberFormat="1" applyFont="1" applyFill="1" applyBorder="1"/>
    <xf numFmtId="168" fontId="21" fillId="244" borderId="4" xfId="0" applyNumberFormat="1" applyFont="1" applyFill="1" applyBorder="1"/>
    <xf numFmtId="168" fontId="21" fillId="565" borderId="0" xfId="0" applyNumberFormat="1" applyFont="1" applyFill="1"/>
    <xf numFmtId="168" fontId="21" fillId="566" borderId="0" xfId="0" applyNumberFormat="1" applyFont="1" applyFill="1"/>
    <xf numFmtId="168" fontId="21" fillId="567" borderId="0" xfId="0" applyNumberFormat="1" applyFont="1" applyFill="1"/>
    <xf numFmtId="168" fontId="21" fillId="568" borderId="0" xfId="0" applyNumberFormat="1" applyFont="1" applyFill="1"/>
    <xf numFmtId="168" fontId="21" fillId="569" borderId="0" xfId="0" applyNumberFormat="1" applyFont="1" applyFill="1"/>
    <xf numFmtId="168" fontId="21" fillId="570" borderId="0" xfId="0" applyNumberFormat="1" applyFont="1" applyFill="1"/>
    <xf numFmtId="168" fontId="21" fillId="571" borderId="0" xfId="0" applyNumberFormat="1" applyFont="1" applyFill="1"/>
    <xf numFmtId="168" fontId="21" fillId="572" borderId="0" xfId="0" applyNumberFormat="1" applyFont="1" applyFill="1"/>
    <xf numFmtId="168" fontId="21" fillId="573" borderId="0" xfId="0" applyNumberFormat="1" applyFont="1" applyFill="1"/>
    <xf numFmtId="168" fontId="21" fillId="236" borderId="4" xfId="0" applyNumberFormat="1" applyFont="1" applyFill="1" applyBorder="1"/>
    <xf numFmtId="168" fontId="21" fillId="574" borderId="0" xfId="0" applyNumberFormat="1" applyFont="1" applyFill="1"/>
    <xf numFmtId="168" fontId="21" fillId="575" borderId="0" xfId="0" applyNumberFormat="1" applyFont="1" applyFill="1"/>
    <xf numFmtId="168" fontId="21" fillId="576" borderId="0" xfId="0" applyNumberFormat="1" applyFont="1" applyFill="1"/>
    <xf numFmtId="168" fontId="21" fillId="322" borderId="4" xfId="0" applyNumberFormat="1" applyFont="1" applyFill="1" applyBorder="1"/>
    <xf numFmtId="168" fontId="21" fillId="577" borderId="0" xfId="0" applyNumberFormat="1" applyFont="1" applyFill="1"/>
    <xf numFmtId="168" fontId="21" fillId="578" borderId="0" xfId="0" applyNumberFormat="1" applyFont="1" applyFill="1"/>
    <xf numFmtId="168" fontId="21" fillId="579" borderId="0" xfId="0" applyNumberFormat="1" applyFont="1" applyFill="1"/>
    <xf numFmtId="168" fontId="21" fillId="580" borderId="0" xfId="0" applyNumberFormat="1" applyFont="1" applyFill="1"/>
    <xf numFmtId="168" fontId="21" fillId="581" borderId="0" xfId="0" applyNumberFormat="1" applyFont="1" applyFill="1"/>
    <xf numFmtId="168" fontId="21" fillId="582" borderId="0" xfId="0" applyNumberFormat="1" applyFont="1" applyFill="1"/>
    <xf numFmtId="168" fontId="21" fillId="451" borderId="4" xfId="0" applyNumberFormat="1" applyFont="1" applyFill="1" applyBorder="1"/>
    <xf numFmtId="168" fontId="21" fillId="583" borderId="0" xfId="0" applyNumberFormat="1" applyFont="1" applyFill="1"/>
    <xf numFmtId="168" fontId="21" fillId="329" borderId="4" xfId="0" applyNumberFormat="1" applyFont="1" applyFill="1" applyBorder="1"/>
    <xf numFmtId="168" fontId="21" fillId="332" borderId="4" xfId="0" applyNumberFormat="1" applyFont="1" applyFill="1" applyBorder="1"/>
    <xf numFmtId="168" fontId="21" fillId="513" borderId="4" xfId="0" applyNumberFormat="1" applyFont="1" applyFill="1" applyBorder="1"/>
    <xf numFmtId="168" fontId="21" fillId="345" borderId="4" xfId="0" applyNumberFormat="1" applyFont="1" applyFill="1" applyBorder="1"/>
    <xf numFmtId="168" fontId="21" fillId="217" borderId="4" xfId="0" applyNumberFormat="1" applyFont="1" applyFill="1" applyBorder="1"/>
    <xf numFmtId="168" fontId="21" fillId="491" borderId="0" xfId="0" applyNumberFormat="1" applyFont="1" applyFill="1"/>
    <xf numFmtId="168" fontId="21" fillId="309" borderId="4" xfId="0" applyNumberFormat="1" applyFont="1" applyFill="1" applyBorder="1"/>
    <xf numFmtId="168" fontId="21" fillId="339" borderId="4" xfId="0" applyNumberFormat="1" applyFont="1" applyFill="1" applyBorder="1"/>
    <xf numFmtId="168" fontId="21" fillId="291" borderId="4" xfId="0" applyNumberFormat="1" applyFont="1" applyFill="1" applyBorder="1"/>
    <xf numFmtId="168" fontId="21" fillId="506" borderId="4" xfId="0" applyNumberFormat="1" applyFont="1" applyFill="1" applyBorder="1"/>
    <xf numFmtId="168" fontId="21" fillId="234" borderId="4" xfId="0" applyNumberFormat="1" applyFont="1" applyFill="1" applyBorder="1"/>
    <xf numFmtId="168" fontId="21" fillId="216" borderId="4" xfId="0" applyNumberFormat="1" applyFont="1" applyFill="1" applyBorder="1"/>
    <xf numFmtId="168" fontId="21" fillId="319" borderId="4" xfId="0" applyNumberFormat="1" applyFont="1" applyFill="1" applyBorder="1"/>
    <xf numFmtId="168" fontId="21" fillId="584" borderId="0" xfId="0" applyNumberFormat="1" applyFont="1" applyFill="1"/>
    <xf numFmtId="168" fontId="21" fillId="253" borderId="4" xfId="0" applyNumberFormat="1" applyFont="1" applyFill="1" applyBorder="1"/>
    <xf numFmtId="168" fontId="21" fillId="585" borderId="0" xfId="0" applyNumberFormat="1" applyFont="1" applyFill="1"/>
    <xf numFmtId="168" fontId="21" fillId="227" borderId="4" xfId="0" applyNumberFormat="1" applyFont="1" applyFill="1" applyBorder="1"/>
    <xf numFmtId="168" fontId="21" fillId="296" borderId="4" xfId="0" applyNumberFormat="1" applyFont="1" applyFill="1" applyBorder="1"/>
    <xf numFmtId="168" fontId="21" fillId="300" borderId="4" xfId="0" applyNumberFormat="1" applyFont="1" applyFill="1" applyBorder="1"/>
    <xf numFmtId="168" fontId="21" fillId="326" borderId="4" xfId="0" applyNumberFormat="1" applyFont="1" applyFill="1" applyBorder="1"/>
    <xf numFmtId="168" fontId="21" fillId="321" borderId="4" xfId="0" applyNumberFormat="1" applyFont="1" applyFill="1" applyBorder="1"/>
    <xf numFmtId="168" fontId="21" fillId="215" borderId="4" xfId="0" applyNumberFormat="1" applyFont="1" applyFill="1" applyBorder="1"/>
    <xf numFmtId="9" fontId="21" fillId="586" borderId="0" xfId="0" applyNumberFormat="1" applyFont="1" applyFill="1"/>
    <xf numFmtId="9" fontId="21" fillId="118" borderId="12" xfId="0" applyNumberFormat="1" applyFont="1" applyFill="1" applyBorder="1"/>
    <xf numFmtId="9" fontId="21" fillId="114" borderId="12" xfId="0" applyNumberFormat="1" applyFont="1" applyFill="1" applyBorder="1"/>
    <xf numFmtId="9" fontId="21" fillId="176" borderId="12" xfId="0" applyNumberFormat="1" applyFont="1" applyFill="1" applyBorder="1"/>
    <xf numFmtId="168" fontId="21" fillId="428" borderId="13" xfId="0" applyNumberFormat="1" applyFont="1" applyFill="1" applyBorder="1"/>
    <xf numFmtId="9" fontId="21" fillId="99" borderId="12" xfId="0" applyNumberFormat="1" applyFont="1" applyFill="1" applyBorder="1"/>
    <xf numFmtId="168" fontId="21" fillId="176" borderId="13" xfId="0" applyNumberFormat="1" applyFont="1" applyFill="1" applyBorder="1"/>
    <xf numFmtId="9" fontId="21" fillId="386" borderId="12" xfId="0" applyNumberFormat="1" applyFont="1" applyFill="1" applyBorder="1"/>
    <xf numFmtId="168" fontId="21" fillId="185" borderId="13" xfId="0" applyNumberFormat="1" applyFont="1" applyFill="1" applyBorder="1"/>
    <xf numFmtId="9" fontId="21" fillId="62" borderId="12" xfId="0" applyNumberFormat="1" applyFont="1" applyFill="1" applyBorder="1"/>
    <xf numFmtId="168" fontId="21" fillId="114" borderId="13" xfId="0" applyNumberFormat="1" applyFont="1" applyFill="1" applyBorder="1"/>
    <xf numFmtId="168" fontId="21" fillId="201" borderId="4" xfId="0" applyNumberFormat="1" applyFont="1" applyFill="1" applyBorder="1"/>
    <xf numFmtId="168" fontId="21" fillId="183" borderId="4" xfId="0" applyNumberFormat="1" applyFont="1" applyFill="1" applyBorder="1"/>
    <xf numFmtId="9" fontId="21" fillId="300" borderId="0" xfId="0" applyNumberFormat="1" applyFont="1" applyFill="1"/>
    <xf numFmtId="168" fontId="21" fillId="380" borderId="4" xfId="0" applyNumberFormat="1" applyFont="1" applyFill="1" applyBorder="1"/>
    <xf numFmtId="9" fontId="21" fillId="587" borderId="0" xfId="0" applyNumberFormat="1" applyFont="1" applyFill="1"/>
    <xf numFmtId="168" fontId="21" fillId="427" borderId="4" xfId="0" applyNumberFormat="1" applyFont="1" applyFill="1" applyBorder="1"/>
    <xf numFmtId="9" fontId="21" fillId="588" borderId="0" xfId="0" applyNumberFormat="1" applyFont="1" applyFill="1"/>
    <xf numFmtId="168" fontId="21" fillId="30" borderId="4" xfId="0" applyNumberFormat="1" applyFont="1" applyFill="1" applyBorder="1"/>
    <xf numFmtId="9" fontId="21" fillId="589" borderId="0" xfId="0" applyNumberFormat="1" applyFont="1" applyFill="1"/>
    <xf numFmtId="9" fontId="21" fillId="590" borderId="0" xfId="0" applyNumberFormat="1" applyFont="1" applyFill="1"/>
    <xf numFmtId="168" fontId="21" fillId="53" borderId="4" xfId="0" applyNumberFormat="1" applyFont="1" applyFill="1" applyBorder="1"/>
    <xf numFmtId="168" fontId="21" fillId="61" borderId="4" xfId="0" applyNumberFormat="1" applyFont="1" applyFill="1" applyBorder="1"/>
    <xf numFmtId="168" fontId="21" fillId="66" borderId="4" xfId="0" applyNumberFormat="1" applyFont="1" applyFill="1" applyBorder="1"/>
    <xf numFmtId="168" fontId="21" fillId="356" borderId="4" xfId="0" applyNumberFormat="1" applyFont="1" applyFill="1" applyBorder="1"/>
    <xf numFmtId="168" fontId="21" fillId="163" borderId="4" xfId="0" applyNumberFormat="1" applyFont="1" applyFill="1" applyBorder="1"/>
    <xf numFmtId="9" fontId="21" fillId="591" borderId="0" xfId="0" applyNumberFormat="1" applyFont="1" applyFill="1"/>
    <xf numFmtId="9" fontId="21" fillId="592" borderId="0" xfId="0" applyNumberFormat="1" applyFont="1" applyFill="1"/>
    <xf numFmtId="9" fontId="21" fillId="593" borderId="0" xfId="0" applyNumberFormat="1" applyFont="1" applyFill="1"/>
    <xf numFmtId="9" fontId="21" fillId="594" borderId="0" xfId="0" applyNumberFormat="1" applyFont="1" applyFill="1"/>
    <xf numFmtId="9" fontId="21" fillId="595" borderId="0" xfId="0" applyNumberFormat="1" applyFont="1" applyFill="1"/>
    <xf numFmtId="9" fontId="21" fillId="596" borderId="0" xfId="0" applyNumberFormat="1" applyFont="1" applyFill="1"/>
    <xf numFmtId="168" fontId="21" fillId="364" borderId="4" xfId="0" applyNumberFormat="1" applyFont="1" applyFill="1" applyBorder="1"/>
    <xf numFmtId="9" fontId="21" fillId="597" borderId="0" xfId="0" applyNumberFormat="1" applyFont="1" applyFill="1"/>
    <xf numFmtId="9" fontId="21" fillId="598" borderId="0" xfId="0" applyNumberFormat="1" applyFont="1" applyFill="1"/>
    <xf numFmtId="9" fontId="21" fillId="599" borderId="0" xfId="0" applyNumberFormat="1" applyFont="1" applyFill="1"/>
    <xf numFmtId="9" fontId="21" fillId="600" borderId="0" xfId="0" applyNumberFormat="1" applyFont="1" applyFill="1"/>
    <xf numFmtId="168" fontId="21" fillId="528" borderId="4" xfId="0" applyNumberFormat="1" applyFont="1" applyFill="1" applyBorder="1"/>
    <xf numFmtId="168" fontId="21" fillId="384" borderId="4" xfId="0" applyNumberFormat="1" applyFont="1" applyFill="1" applyBorder="1"/>
    <xf numFmtId="9" fontId="21" fillId="601" borderId="0" xfId="0" applyNumberFormat="1" applyFont="1" applyFill="1"/>
    <xf numFmtId="168" fontId="21" fillId="533" borderId="4" xfId="0" applyNumberFormat="1" applyFont="1" applyFill="1" applyBorder="1"/>
    <xf numFmtId="168" fontId="21" fillId="196" borderId="4" xfId="0" applyNumberFormat="1" applyFont="1" applyFill="1" applyBorder="1"/>
    <xf numFmtId="168" fontId="21" fillId="166" borderId="4" xfId="0" applyNumberFormat="1" applyFont="1" applyFill="1" applyBorder="1"/>
    <xf numFmtId="9" fontId="21" fillId="602" borderId="0" xfId="0" applyNumberFormat="1" applyFont="1" applyFill="1"/>
    <xf numFmtId="168" fontId="21" fillId="403" borderId="4" xfId="0" applyNumberFormat="1" applyFont="1" applyFill="1" applyBorder="1"/>
    <xf numFmtId="9" fontId="21" fillId="542" borderId="0" xfId="0" applyNumberFormat="1" applyFont="1" applyFill="1"/>
    <xf numFmtId="9" fontId="21" fillId="603" borderId="0" xfId="0" applyNumberFormat="1" applyFont="1" applyFill="1"/>
    <xf numFmtId="168" fontId="21" fillId="414" borderId="4" xfId="0" applyNumberFormat="1" applyFont="1" applyFill="1" applyBorder="1"/>
    <xf numFmtId="9" fontId="21" fillId="517" borderId="0" xfId="0" applyNumberFormat="1" applyFont="1" applyFill="1"/>
    <xf numFmtId="168" fontId="21" fillId="350" borderId="4" xfId="0" applyNumberFormat="1" applyFont="1" applyFill="1" applyBorder="1"/>
    <xf numFmtId="168" fontId="21" fillId="56" borderId="4" xfId="0" applyNumberFormat="1" applyFont="1" applyFill="1" applyBorder="1"/>
    <xf numFmtId="9" fontId="21" fillId="544" borderId="0" xfId="0" applyNumberFormat="1" applyFont="1" applyFill="1"/>
    <xf numFmtId="9" fontId="21" fillId="604" borderId="0" xfId="0" applyNumberFormat="1" applyFont="1" applyFill="1"/>
    <xf numFmtId="168" fontId="21" fillId="142" borderId="4" xfId="0" applyNumberFormat="1" applyFont="1" applyFill="1" applyBorder="1"/>
    <xf numFmtId="168" fontId="21" fillId="82" borderId="4" xfId="0" applyNumberFormat="1" applyFont="1" applyFill="1" applyBorder="1"/>
    <xf numFmtId="168" fontId="21" fillId="200" borderId="4" xfId="0" applyNumberFormat="1" applyFont="1" applyFill="1" applyBorder="1"/>
    <xf numFmtId="168" fontId="21" fillId="165" borderId="4" xfId="0" applyNumberFormat="1" applyFont="1" applyFill="1" applyBorder="1"/>
    <xf numFmtId="168" fontId="21" fillId="161" borderId="4" xfId="0" applyNumberFormat="1" applyFont="1" applyFill="1" applyBorder="1"/>
    <xf numFmtId="168" fontId="21" fillId="411" borderId="4" xfId="0" applyNumberFormat="1" applyFont="1" applyFill="1" applyBorder="1"/>
    <xf numFmtId="168" fontId="21" fillId="202" borderId="4" xfId="0" applyNumberFormat="1" applyFont="1" applyFill="1" applyBorder="1"/>
    <xf numFmtId="168" fontId="21" fillId="131" borderId="4" xfId="0" applyNumberFormat="1" applyFont="1" applyFill="1" applyBorder="1"/>
    <xf numFmtId="9" fontId="21" fillId="518" borderId="0" xfId="0" applyNumberFormat="1" applyFont="1" applyFill="1"/>
    <xf numFmtId="168" fontId="21" fillId="139" borderId="4" xfId="0" applyNumberFormat="1" applyFont="1" applyFill="1" applyBorder="1"/>
    <xf numFmtId="168" fontId="21" fillId="158" borderId="4" xfId="0" applyNumberFormat="1" applyFont="1" applyFill="1" applyBorder="1"/>
    <xf numFmtId="168" fontId="21" fillId="36" borderId="4" xfId="0" applyNumberFormat="1" applyFont="1" applyFill="1" applyBorder="1"/>
    <xf numFmtId="9" fontId="23" fillId="417" borderId="1" xfId="0" applyNumberFormat="1" applyFont="1" applyFill="1" applyBorder="1"/>
    <xf numFmtId="9" fontId="23" fillId="368" borderId="1" xfId="0" applyNumberFormat="1" applyFont="1" applyFill="1" applyBorder="1"/>
    <xf numFmtId="9" fontId="23" fillId="436" borderId="1" xfId="0" applyNumberFormat="1" applyFont="1" applyFill="1" applyBorder="1"/>
    <xf numFmtId="9" fontId="23" fillId="128" borderId="1" xfId="0" applyNumberFormat="1" applyFont="1" applyFill="1" applyBorder="1"/>
    <xf numFmtId="9" fontId="23" fillId="526" borderId="1" xfId="0" applyNumberFormat="1" applyFont="1" applyFill="1" applyBorder="1"/>
    <xf numFmtId="9" fontId="23" fillId="237" borderId="1" xfId="0" applyNumberFormat="1" applyFont="1" applyFill="1" applyBorder="1"/>
    <xf numFmtId="9" fontId="23" fillId="523" borderId="1" xfId="0" applyNumberFormat="1" applyFont="1" applyFill="1" applyBorder="1"/>
    <xf numFmtId="9" fontId="23" fillId="177" borderId="1" xfId="0" applyNumberFormat="1" applyFont="1" applyFill="1" applyBorder="1"/>
    <xf numFmtId="168" fontId="23" fillId="134" borderId="6" xfId="0" applyNumberFormat="1" applyFont="1" applyFill="1" applyBorder="1"/>
    <xf numFmtId="9" fontId="23" fillId="382" borderId="1" xfId="0" applyNumberFormat="1" applyFont="1" applyFill="1" applyBorder="1"/>
    <xf numFmtId="9" fontId="23" fillId="143" borderId="1" xfId="0" applyNumberFormat="1" applyFont="1" applyFill="1" applyBorder="1"/>
    <xf numFmtId="168" fontId="23" fillId="170" borderId="6" xfId="0" applyNumberFormat="1" applyFont="1" applyFill="1" applyBorder="1"/>
    <xf numFmtId="9" fontId="23" fillId="134" borderId="1" xfId="0" applyNumberFormat="1" applyFont="1" applyFill="1" applyBorder="1"/>
    <xf numFmtId="9" fontId="23" fillId="353" borderId="1" xfId="0" applyNumberFormat="1" applyFont="1" applyFill="1" applyBorder="1"/>
    <xf numFmtId="168" fontId="23" fillId="586" borderId="6" xfId="0" applyNumberFormat="1" applyFont="1" applyFill="1" applyBorder="1"/>
    <xf numFmtId="168" fontId="21" fillId="281" borderId="13" xfId="0" applyNumberFormat="1" applyFont="1" applyFill="1" applyBorder="1"/>
    <xf numFmtId="168" fontId="21" fillId="206" borderId="13" xfId="0" applyNumberFormat="1" applyFont="1" applyFill="1" applyBorder="1"/>
    <xf numFmtId="168" fontId="21" fillId="326" borderId="13" xfId="0" applyNumberFormat="1" applyFont="1" applyFill="1" applyBorder="1"/>
    <xf numFmtId="168" fontId="21" fillId="221" borderId="4" xfId="0" applyNumberFormat="1" applyFont="1" applyFill="1" applyBorder="1"/>
    <xf numFmtId="168" fontId="21" fillId="605" borderId="0" xfId="0" applyNumberFormat="1" applyFont="1" applyFill="1"/>
    <xf numFmtId="168" fontId="21" fillId="246" borderId="4" xfId="0" applyNumberFormat="1" applyFont="1" applyFill="1" applyBorder="1"/>
    <xf numFmtId="168" fontId="21" fillId="223" borderId="4" xfId="0" applyNumberFormat="1" applyFont="1" applyFill="1" applyBorder="1"/>
    <xf numFmtId="168" fontId="21" fillId="606" borderId="0" xfId="0" applyNumberFormat="1" applyFont="1" applyFill="1"/>
    <xf numFmtId="168" fontId="21" fillId="607" borderId="0" xfId="0" applyNumberFormat="1" applyFont="1" applyFill="1"/>
    <xf numFmtId="168" fontId="21" fillId="608" borderId="0" xfId="0" applyNumberFormat="1" applyFont="1" applyFill="1"/>
    <xf numFmtId="168" fontId="21" fillId="609" borderId="0" xfId="0" applyNumberFormat="1" applyFont="1" applyFill="1"/>
    <xf numFmtId="168" fontId="21" fillId="610" borderId="0" xfId="0" applyNumberFormat="1" applyFont="1" applyFill="1"/>
    <xf numFmtId="168" fontId="21" fillId="255" borderId="4" xfId="0" applyNumberFormat="1" applyFont="1" applyFill="1" applyBorder="1"/>
    <xf numFmtId="168" fontId="21" fillId="611" borderId="0" xfId="0" applyNumberFormat="1" applyFont="1" applyFill="1"/>
    <xf numFmtId="168" fontId="21" fillId="612" borderId="0" xfId="0" applyNumberFormat="1" applyFont="1" applyFill="1"/>
    <xf numFmtId="168" fontId="21" fillId="569" borderId="4" xfId="0" applyNumberFormat="1" applyFont="1" applyFill="1" applyBorder="1"/>
    <xf numFmtId="168" fontId="21" fillId="613" borderId="0" xfId="0" applyNumberFormat="1" applyFont="1" applyFill="1"/>
    <xf numFmtId="168" fontId="21" fillId="370" borderId="0" xfId="0" applyNumberFormat="1" applyFont="1" applyFill="1"/>
    <xf numFmtId="168" fontId="21" fillId="614" borderId="0" xfId="0" applyNumberFormat="1" applyFont="1" applyFill="1"/>
    <xf numFmtId="168" fontId="21" fillId="277" borderId="4" xfId="0" applyNumberFormat="1" applyFont="1" applyFill="1" applyBorder="1"/>
    <xf numFmtId="168" fontId="21" fillId="615" borderId="0" xfId="0" applyNumberFormat="1" applyFont="1" applyFill="1"/>
    <xf numFmtId="168" fontId="21" fillId="616" borderId="0" xfId="0" applyNumberFormat="1" applyFont="1" applyFill="1"/>
    <xf numFmtId="168" fontId="21" fillId="617" borderId="0" xfId="0" applyNumberFormat="1" applyFont="1" applyFill="1"/>
    <xf numFmtId="168" fontId="21" fillId="271" borderId="4" xfId="0" applyNumberFormat="1" applyFont="1" applyFill="1" applyBorder="1"/>
    <xf numFmtId="168" fontId="21" fillId="231" borderId="4" xfId="0" applyNumberFormat="1" applyFont="1" applyFill="1" applyBorder="1"/>
    <xf numFmtId="168" fontId="21" fillId="618" borderId="0" xfId="0" applyNumberFormat="1" applyFont="1" applyFill="1"/>
    <xf numFmtId="168" fontId="21" fillId="619" borderId="0" xfId="0" applyNumberFormat="1" applyFont="1" applyFill="1"/>
    <xf numFmtId="168" fontId="21" fillId="620" borderId="0" xfId="0" applyNumberFormat="1" applyFont="1" applyFill="1"/>
    <xf numFmtId="168" fontId="21" fillId="621" borderId="0" xfId="0" applyNumberFormat="1" applyFont="1" applyFill="1"/>
    <xf numFmtId="168" fontId="21" fillId="476" borderId="4" xfId="0" applyNumberFormat="1" applyFont="1" applyFill="1" applyBorder="1"/>
    <xf numFmtId="168" fontId="21" fillId="622" borderId="0" xfId="0" applyNumberFormat="1" applyFont="1" applyFill="1"/>
    <xf numFmtId="168" fontId="21" fillId="256" borderId="4" xfId="0" applyNumberFormat="1" applyFont="1" applyFill="1" applyBorder="1"/>
    <xf numFmtId="168" fontId="21" fillId="180" borderId="0" xfId="0" applyNumberFormat="1" applyFont="1" applyFill="1"/>
    <xf numFmtId="168" fontId="21" fillId="400" borderId="0" xfId="0" applyNumberFormat="1" applyFont="1" applyFill="1"/>
    <xf numFmtId="168" fontId="21" fillId="272" borderId="4" xfId="0" applyNumberFormat="1" applyFont="1" applyFill="1" applyBorder="1"/>
    <xf numFmtId="168" fontId="21" fillId="623" borderId="0" xfId="0" applyNumberFormat="1" applyFont="1" applyFill="1"/>
    <xf numFmtId="168" fontId="21" fillId="624" borderId="0" xfId="0" applyNumberFormat="1" applyFont="1" applyFill="1"/>
    <xf numFmtId="168" fontId="21" fillId="625" borderId="0" xfId="0" applyNumberFormat="1" applyFont="1" applyFill="1"/>
    <xf numFmtId="168" fontId="21" fillId="626" borderId="0" xfId="0" applyNumberFormat="1" applyFont="1" applyFill="1"/>
    <xf numFmtId="168" fontId="21" fillId="472" borderId="4" xfId="0" applyNumberFormat="1" applyFont="1" applyFill="1" applyBorder="1"/>
    <xf numFmtId="168" fontId="21" fillId="293" borderId="4" xfId="0" applyNumberFormat="1" applyFont="1" applyFill="1" applyBorder="1"/>
    <xf numFmtId="168" fontId="21" fillId="294" borderId="4" xfId="0" applyNumberFormat="1" applyFont="1" applyFill="1" applyBorder="1"/>
    <xf numFmtId="168" fontId="21" fillId="219" borderId="4" xfId="0" applyNumberFormat="1" applyFont="1" applyFill="1" applyBorder="1"/>
    <xf numFmtId="168" fontId="21" fillId="627" borderId="0" xfId="0" applyNumberFormat="1" applyFont="1" applyFill="1"/>
    <xf numFmtId="168" fontId="21" fillId="453" borderId="4" xfId="0" applyNumberFormat="1" applyFont="1" applyFill="1" applyBorder="1"/>
    <xf numFmtId="168" fontId="21" fillId="446" borderId="4" xfId="0" applyNumberFormat="1" applyFont="1" applyFill="1" applyBorder="1"/>
    <xf numFmtId="168" fontId="21" fillId="209" borderId="4" xfId="0" applyNumberFormat="1" applyFont="1" applyFill="1" applyBorder="1"/>
    <xf numFmtId="168" fontId="21" fillId="498" borderId="4" xfId="0" applyNumberFormat="1" applyFont="1" applyFill="1" applyBorder="1"/>
    <xf numFmtId="168" fontId="21" fillId="232" borderId="4" xfId="0" applyNumberFormat="1" applyFont="1" applyFill="1" applyBorder="1"/>
    <xf numFmtId="168" fontId="21" fillId="585" borderId="4" xfId="0" applyNumberFormat="1" applyFont="1" applyFill="1" applyBorder="1"/>
    <xf numFmtId="168" fontId="21" fillId="445" borderId="4" xfId="0" applyNumberFormat="1" applyFont="1" applyFill="1" applyBorder="1"/>
    <xf numFmtId="168" fontId="21" fillId="492" borderId="4" xfId="0" applyNumberFormat="1" applyFont="1" applyFill="1" applyBorder="1"/>
    <xf numFmtId="0" fontId="0" fillId="2" borderId="0" xfId="0" applyFill="1"/>
    <xf numFmtId="168" fontId="0" fillId="2" borderId="0" xfId="0" applyNumberFormat="1" applyFill="1"/>
    <xf numFmtId="0" fontId="21" fillId="2" borderId="0" xfId="0" applyFont="1" applyFill="1"/>
  </cellXfs>
  <cellStyles count="7">
    <cellStyle name="Comma" xfId="6" builtinId="3"/>
    <cellStyle name="Comma 2" xfId="3" xr:uid="{AF63A642-F713-4423-9934-15FE53CB45CF}"/>
    <cellStyle name="Currency" xfId="5" builtinId="4"/>
    <cellStyle name="Normal" xfId="0" builtinId="0"/>
    <cellStyle name="Normal 2" xfId="2" xr:uid="{9748FF3B-8D00-4C8B-86DA-28A504D3AC8A}"/>
    <cellStyle name="Normal 3" xfId="1" xr:uid="{C84E3B76-4A9A-4F57-850D-3DE5F09380A8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'Opt 1 - Guard + Adeq %'!$S$10</c:f>
              <c:strCache>
                <c:ptCount val="1"/>
                <c:pt idx="0">
                  <c:v>Chicago State University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%'!$V$10:$AH$10</c:f>
              <c:numCache>
                <c:formatCode>0%</c:formatCode>
                <c:ptCount val="13"/>
                <c:pt idx="0">
                  <c:v>0.27022138623394842</c:v>
                </c:pt>
                <c:pt idx="1">
                  <c:v>0.23850227400860774</c:v>
                </c:pt>
                <c:pt idx="2">
                  <c:v>0.20879533745174567</c:v>
                </c:pt>
                <c:pt idx="3">
                  <c:v>0.18119809538818407</c:v>
                </c:pt>
                <c:pt idx="4">
                  <c:v>0.15579398860497651</c:v>
                </c:pt>
                <c:pt idx="5">
                  <c:v>0.13264796063193027</c:v>
                </c:pt>
                <c:pt idx="6">
                  <c:v>0.11180163694004876</c:v>
                </c:pt>
                <c:pt idx="7">
                  <c:v>9.3268293252176698E-2</c:v>
                </c:pt>
                <c:pt idx="8">
                  <c:v>7.7027924414310861E-2</c:v>
                </c:pt>
                <c:pt idx="9">
                  <c:v>6.3022873942172097E-2</c:v>
                </c:pt>
                <c:pt idx="10">
                  <c:v>5.1154649877800468E-2</c:v>
                </c:pt>
                <c:pt idx="11">
                  <c:v>4.1282708599398303E-2</c:v>
                </c:pt>
                <c:pt idx="12">
                  <c:v>3.322608649616015E-2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77-AD49-874F-6F2491B05BBD}"/>
            </c:ext>
          </c:extLst>
        </c:ser>
        <c:ser>
          <c:idx val="1"/>
          <c:order val="1"/>
          <c:tx>
            <c:strRef>
              <c:f>'Opt 1 - Guard + Adeq %'!$S$11</c:f>
              <c:strCache>
                <c:ptCount val="1"/>
                <c:pt idx="0">
                  <c:v>Eastern Illinois University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%'!$V$11:$AH$11</c:f>
              <c:numCache>
                <c:formatCode>0%</c:formatCode>
                <c:ptCount val="13"/>
                <c:pt idx="0">
                  <c:v>0.40465202264680311</c:v>
                </c:pt>
                <c:pt idx="1">
                  <c:v>0.38237646935948083</c:v>
                </c:pt>
                <c:pt idx="2">
                  <c:v>0.35979202194632925</c:v>
                </c:pt>
                <c:pt idx="3">
                  <c:v>0.33694083431053223</c:v>
                </c:pt>
                <c:pt idx="4">
                  <c:v>0.31387615800951335</c:v>
                </c:pt>
                <c:pt idx="5">
                  <c:v>0.2906641207340106</c:v>
                </c:pt>
                <c:pt idx="6">
                  <c:v>0.2673856191348799</c:v>
                </c:pt>
                <c:pt idx="7">
                  <c:v>0.244138249689383</c:v>
                </c:pt>
                <c:pt idx="8">
                  <c:v>0.22103815177539601</c:v>
                </c:pt>
                <c:pt idx="9">
                  <c:v>0.19822157029384263</c:v>
                </c:pt>
                <c:pt idx="10">
                  <c:v>0.17584585930107677</c:v>
                </c:pt>
                <c:pt idx="11">
                  <c:v>0.1540895442329378</c:v>
                </c:pt>
                <c:pt idx="12">
                  <c:v>0.13315094468852939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77-AD49-874F-6F2491B05BBD}"/>
            </c:ext>
          </c:extLst>
        </c:ser>
        <c:ser>
          <c:idx val="2"/>
          <c:order val="2"/>
          <c:tx>
            <c:strRef>
              <c:f>'Opt 1 - Guard + Adeq %'!$S$12</c:f>
              <c:strCache>
                <c:ptCount val="1"/>
                <c:pt idx="0">
                  <c:v>Governors State University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%'!$V$12:$AH$12</c:f>
              <c:numCache>
                <c:formatCode>0%</c:formatCode>
                <c:ptCount val="13"/>
                <c:pt idx="0">
                  <c:v>0.53317196549348389</c:v>
                </c:pt>
                <c:pt idx="1">
                  <c:v>0.4870483504988502</c:v>
                </c:pt>
                <c:pt idx="2">
                  <c:v>0.44199076319662783</c:v>
                </c:pt>
                <c:pt idx="3">
                  <c:v>0.39818162632207399</c:v>
                </c:pt>
                <c:pt idx="4">
                  <c:v>0.35581742520565057</c:v>
                </c:pt>
                <c:pt idx="5">
                  <c:v>0.31510730444214757</c:v>
                </c:pt>
                <c:pt idx="6">
                  <c:v>0.27627062359896543</c:v>
                </c:pt>
                <c:pt idx="7">
                  <c:v>0.23953317038804972</c:v>
                </c:pt>
                <c:pt idx="8">
                  <c:v>0.20512170081070907</c:v>
                </c:pt>
                <c:pt idx="9">
                  <c:v>0.17325647722623705</c:v>
                </c:pt>
                <c:pt idx="10">
                  <c:v>0.14414153197314597</c:v>
                </c:pt>
                <c:pt idx="11">
                  <c:v>0.11795252995422829</c:v>
                </c:pt>
                <c:pt idx="12">
                  <c:v>9.4822379684014829E-2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77-AD49-874F-6F2491B05BBD}"/>
            </c:ext>
          </c:extLst>
        </c:ser>
        <c:ser>
          <c:idx val="3"/>
          <c:order val="3"/>
          <c:tx>
            <c:strRef>
              <c:f>'Opt 1 - Guard + Adeq %'!$S$13</c:f>
              <c:strCache>
                <c:ptCount val="1"/>
                <c:pt idx="0">
                  <c:v>Illinois State University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%'!$V$13:$AH$13</c:f>
              <c:numCache>
                <c:formatCode>0%</c:formatCode>
                <c:ptCount val="13"/>
                <c:pt idx="0">
                  <c:v>0.49058451667009628</c:v>
                </c:pt>
                <c:pt idx="1">
                  <c:v>0.48166384828774583</c:v>
                </c:pt>
                <c:pt idx="2">
                  <c:v>0.47219631992839167</c:v>
                </c:pt>
                <c:pt idx="3">
                  <c:v>0.46213910194299979</c:v>
                </c:pt>
                <c:pt idx="4">
                  <c:v>0.45144605999117077</c:v>
                </c:pt>
                <c:pt idx="5">
                  <c:v>0.44006772183907233</c:v>
                </c:pt>
                <c:pt idx="6">
                  <c:v>0.42795134894943615</c:v>
                </c:pt>
                <c:pt idx="7">
                  <c:v>0.415041157246616</c:v>
                </c:pt>
                <c:pt idx="8">
                  <c:v>0.40127874423875998</c:v>
                </c:pt>
                <c:pt idx="9">
                  <c:v>0.38660379486689944</c:v>
                </c:pt>
                <c:pt idx="10">
                  <c:v>0.37095515607786916</c:v>
                </c:pt>
                <c:pt idx="11">
                  <c:v>0.35427239025716606</c:v>
                </c:pt>
                <c:pt idx="12">
                  <c:v>0.33649794069946271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77-AD49-874F-6F2491B05BBD}"/>
            </c:ext>
          </c:extLst>
        </c:ser>
        <c:ser>
          <c:idx val="4"/>
          <c:order val="4"/>
          <c:tx>
            <c:strRef>
              <c:f>'Opt 1 - Guard + Adeq %'!$S$14</c:f>
              <c:strCache>
                <c:ptCount val="1"/>
                <c:pt idx="0">
                  <c:v>Northeastern Illinois University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%'!$V$14:$AH$14</c:f>
              <c:numCache>
                <c:formatCode>0%</c:formatCode>
                <c:ptCount val="13"/>
                <c:pt idx="0">
                  <c:v>0.58754644939577427</c:v>
                </c:pt>
                <c:pt idx="1">
                  <c:v>0.55354080228207081</c:v>
                </c:pt>
                <c:pt idx="2">
                  <c:v>0.51920994585553326</c:v>
                </c:pt>
                <c:pt idx="3">
                  <c:v>0.48462365280737157</c:v>
                </c:pt>
                <c:pt idx="4">
                  <c:v>0.44986809487805662</c:v>
                </c:pt>
                <c:pt idx="5">
                  <c:v>0.41504828640456182</c:v>
                </c:pt>
                <c:pt idx="6">
                  <c:v>0.38029063495594184</c:v>
                </c:pt>
                <c:pt idx="7">
                  <c:v>0.34574547321952809</c:v>
                </c:pt>
                <c:pt idx="8">
                  <c:v>0.31158937293289551</c:v>
                </c:pt>
                <c:pt idx="9">
                  <c:v>0.27802694444442411</c:v>
                </c:pt>
                <c:pt idx="10">
                  <c:v>0.24529170296876499</c:v>
                </c:pt>
                <c:pt idx="11">
                  <c:v>0.21364543781909165</c:v>
                </c:pt>
                <c:pt idx="12">
                  <c:v>0.18337536491426232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77-AD49-874F-6F2491B05BBD}"/>
            </c:ext>
          </c:extLst>
        </c:ser>
        <c:ser>
          <c:idx val="5"/>
          <c:order val="5"/>
          <c:tx>
            <c:strRef>
              <c:f>'Opt 1 - Guard + Adeq %'!$S$15</c:f>
              <c:strCache>
                <c:ptCount val="1"/>
                <c:pt idx="0">
                  <c:v>Northern Illinois University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%'!$V$15:$AH$15</c:f>
              <c:numCache>
                <c:formatCode>0%</c:formatCode>
                <c:ptCount val="13"/>
                <c:pt idx="0">
                  <c:v>0.46020371653692282</c:v>
                </c:pt>
                <c:pt idx="1">
                  <c:v>0.45095628411411881</c:v>
                </c:pt>
                <c:pt idx="2">
                  <c:v>0.44112622373063715</c:v>
                </c:pt>
                <c:pt idx="3">
                  <c:v>0.43067224160206247</c:v>
                </c:pt>
                <c:pt idx="4">
                  <c:v>0.41955060523425264</c:v>
                </c:pt>
                <c:pt idx="5">
                  <c:v>0.40771535472297254</c:v>
                </c:pt>
                <c:pt idx="6">
                  <c:v>0.39511867901229819</c:v>
                </c:pt>
                <c:pt idx="7">
                  <c:v>0.38171151414678123</c:v>
                </c:pt>
                <c:pt idx="8">
                  <c:v>0.36744443489431161</c:v>
                </c:pt>
                <c:pt idx="9">
                  <c:v>0.35226892738728655</c:v>
                </c:pt>
                <c:pt idx="10">
                  <c:v>0.33613914821850172</c:v>
                </c:pt>
                <c:pt idx="11">
                  <c:v>0.31901429413187182</c:v>
                </c:pt>
                <c:pt idx="12">
                  <c:v>0.30086172548988555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77-AD49-874F-6F2491B05BBD}"/>
            </c:ext>
          </c:extLst>
        </c:ser>
        <c:ser>
          <c:idx val="6"/>
          <c:order val="6"/>
          <c:tx>
            <c:strRef>
              <c:f>'Opt 1 - Guard + Adeq %'!$S$16</c:f>
              <c:strCache>
                <c:ptCount val="1"/>
                <c:pt idx="0">
                  <c:v>Southern Illinois University Carbondale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%'!$V$16:$AH$16</c:f>
              <c:numCache>
                <c:formatCode>0%</c:formatCode>
                <c:ptCount val="13"/>
                <c:pt idx="0">
                  <c:v>0.10412518484326631</c:v>
                </c:pt>
                <c:pt idx="1">
                  <c:v>0.10501948031141044</c:v>
                </c:pt>
                <c:pt idx="2">
                  <c:v>0.1055844469663454</c:v>
                </c:pt>
                <c:pt idx="3">
                  <c:v>0.1057981450240489</c:v>
                </c:pt>
                <c:pt idx="4">
                  <c:v>0.10563729700890623</c:v>
                </c:pt>
                <c:pt idx="5">
                  <c:v>0.1050774168773136</c:v>
                </c:pt>
                <c:pt idx="6">
                  <c:v>0.10409303613831174</c:v>
                </c:pt>
                <c:pt idx="7">
                  <c:v>0.10265806011195629</c:v>
                </c:pt>
                <c:pt idx="8">
                  <c:v>0.1007462953477837</c:v>
                </c:pt>
                <c:pt idx="9">
                  <c:v>9.8332197700344237E-2</c:v>
                </c:pt>
                <c:pt idx="10">
                  <c:v>9.5391898954001048E-2</c:v>
                </c:pt>
                <c:pt idx="11">
                  <c:v>9.1904577126807732E-2</c:v>
                </c:pt>
                <c:pt idx="12">
                  <c:v>8.7854240137833772E-2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77-AD49-874F-6F2491B05BBD}"/>
            </c:ext>
          </c:extLst>
        </c:ser>
        <c:ser>
          <c:idx val="7"/>
          <c:order val="7"/>
          <c:tx>
            <c:strRef>
              <c:f>'Opt 1 - Guard + Adeq %'!$S$17</c:f>
              <c:strCache>
                <c:ptCount val="1"/>
                <c:pt idx="0">
                  <c:v>Southern Illinois University Edwardsville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%'!$V$17:$AH$17</c:f>
              <c:numCache>
                <c:formatCode>0%</c:formatCode>
                <c:ptCount val="13"/>
                <c:pt idx="0">
                  <c:v>0.40529052806695692</c:v>
                </c:pt>
                <c:pt idx="1">
                  <c:v>0.39470365319704276</c:v>
                </c:pt>
                <c:pt idx="2">
                  <c:v>0.38356611145342723</c:v>
                </c:pt>
                <c:pt idx="3">
                  <c:v>0.37184680812433185</c:v>
                </c:pt>
                <c:pt idx="4">
                  <c:v>0.35951437719364499</c:v>
                </c:pt>
                <c:pt idx="5">
                  <c:v>0.34653781331815969</c:v>
                </c:pt>
                <c:pt idx="6">
                  <c:v>0.33288733989187663</c:v>
                </c:pt>
                <c:pt idx="7">
                  <c:v>0.31853557594386905</c:v>
                </c:pt>
                <c:pt idx="8">
                  <c:v>0.303459075572653</c:v>
                </c:pt>
                <c:pt idx="9">
                  <c:v>0.28764032381621107</c:v>
                </c:pt>
                <c:pt idx="10">
                  <c:v>0.27107028062249905</c:v>
                </c:pt>
                <c:pt idx="11">
                  <c:v>0.25375156761053291</c:v>
                </c:pt>
                <c:pt idx="12">
                  <c:v>0.23570238771409135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477-AD49-874F-6F2491B05BBD}"/>
            </c:ext>
          </c:extLst>
        </c:ser>
        <c:ser>
          <c:idx val="8"/>
          <c:order val="8"/>
          <c:tx>
            <c:strRef>
              <c:f>'Opt 1 - Guard + Adeq %'!$S$18</c:f>
              <c:strCache>
                <c:ptCount val="1"/>
                <c:pt idx="0">
                  <c:v>University of Illinois at Chicago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%'!$V$18:$AH$18</c:f>
              <c:numCache>
                <c:formatCode>0%</c:formatCode>
                <c:ptCount val="13"/>
                <c:pt idx="0">
                  <c:v>0.35335462691185071</c:v>
                </c:pt>
                <c:pt idx="1">
                  <c:v>0.35212617243832672</c:v>
                </c:pt>
                <c:pt idx="2">
                  <c:v>0.35060783282983637</c:v>
                </c:pt>
                <c:pt idx="3">
                  <c:v>0.34877250049765213</c:v>
                </c:pt>
                <c:pt idx="4">
                  <c:v>0.34658968962800324</c:v>
                </c:pt>
                <c:pt idx="5">
                  <c:v>0.34402507771008095</c:v>
                </c:pt>
                <c:pt idx="6">
                  <c:v>0.34103998658346241</c:v>
                </c:pt>
                <c:pt idx="7">
                  <c:v>0.33759079648807194</c:v>
                </c:pt>
                <c:pt idx="8">
                  <c:v>0.33362828589879928</c:v>
                </c:pt>
                <c:pt idx="9">
                  <c:v>0.3290968886836429</c:v>
                </c:pt>
                <c:pt idx="10">
                  <c:v>0.32393385782967543</c:v>
                </c:pt>
                <c:pt idx="11">
                  <c:v>0.31806832083865116</c:v>
                </c:pt>
                <c:pt idx="12">
                  <c:v>0.31142020474939008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477-AD49-874F-6F2491B05BBD}"/>
            </c:ext>
          </c:extLst>
        </c:ser>
        <c:ser>
          <c:idx val="9"/>
          <c:order val="9"/>
          <c:tx>
            <c:strRef>
              <c:f>'Opt 1 - Guard + Adeq %'!$S$19</c:f>
              <c:strCache>
                <c:ptCount val="1"/>
                <c:pt idx="0">
                  <c:v>University of Illinois at Springfield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%'!$V$19:$AH$19</c:f>
              <c:numCache>
                <c:formatCode>0%</c:formatCode>
                <c:ptCount val="13"/>
                <c:pt idx="0">
                  <c:v>0.29990402720987908</c:v>
                </c:pt>
                <c:pt idx="1">
                  <c:v>0.26980160932425995</c:v>
                </c:pt>
                <c:pt idx="2">
                  <c:v>0.24090118958307094</c:v>
                </c:pt>
                <c:pt idx="3">
                  <c:v>0.21332654095566495</c:v>
                </c:pt>
                <c:pt idx="4">
                  <c:v>0.18720265736331762</c:v>
                </c:pt>
                <c:pt idx="5">
                  <c:v>0.16265300286238638</c:v>
                </c:pt>
                <c:pt idx="6">
                  <c:v>0.13979595756629509</c:v>
                </c:pt>
                <c:pt idx="7">
                  <c:v>0.11874037001774394</c:v>
                </c:pt>
                <c:pt idx="8">
                  <c:v>9.9580173831573637E-2</c:v>
                </c:pt>
                <c:pt idx="9">
                  <c:v>8.2388114076085039E-2</c:v>
                </c:pt>
                <c:pt idx="10">
                  <c:v>6.7208769577686248E-2</c:v>
                </c:pt>
                <c:pt idx="11">
                  <c:v>5.4051262614735571E-2</c:v>
                </c:pt>
                <c:pt idx="12">
                  <c:v>4.2882320415341471E-2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477-AD49-874F-6F2491B05BBD}"/>
            </c:ext>
          </c:extLst>
        </c:ser>
        <c:ser>
          <c:idx val="10"/>
          <c:order val="10"/>
          <c:tx>
            <c:strRef>
              <c:f>'Opt 1 - Guard + Adeq %'!$S$20</c:f>
              <c:strCache>
                <c:ptCount val="1"/>
                <c:pt idx="0">
                  <c:v>University of Illinois at Urbana / Champaign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%'!$V$20:$AH$20</c:f>
              <c:numCache>
                <c:formatCode>0%</c:formatCode>
                <c:ptCount val="13"/>
                <c:pt idx="0">
                  <c:v>8.9171641702467788E-2</c:v>
                </c:pt>
                <c:pt idx="1">
                  <c:v>9.0852120338255599E-2</c:v>
                </c:pt>
                <c:pt idx="2">
                  <c:v>9.2443017954231724E-2</c:v>
                </c:pt>
                <c:pt idx="3">
                  <c:v>9.3936921691463712E-2</c:v>
                </c:pt>
                <c:pt idx="4">
                  <c:v>9.5325349518103175E-2</c:v>
                </c:pt>
                <c:pt idx="5">
                  <c:v>9.6598578032555726E-2</c:v>
                </c:pt>
                <c:pt idx="6">
                  <c:v>9.7745439693236777E-2</c:v>
                </c:pt>
                <c:pt idx="7">
                  <c:v>9.8753083462193331E-2</c:v>
                </c:pt>
                <c:pt idx="8">
                  <c:v>9.9606691327232905E-2</c:v>
                </c:pt>
                <c:pt idx="9">
                  <c:v>0.10028914102758052</c:v>
                </c:pt>
                <c:pt idx="10">
                  <c:v>0.10078060220312204</c:v>
                </c:pt>
                <c:pt idx="11">
                  <c:v>0.10105804856492902</c:v>
                </c:pt>
                <c:pt idx="12">
                  <c:v>0.10109466168119459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477-AD49-874F-6F2491B05BBD}"/>
            </c:ext>
          </c:extLst>
        </c:ser>
        <c:ser>
          <c:idx val="11"/>
          <c:order val="11"/>
          <c:tx>
            <c:strRef>
              <c:f>'Opt 1 - Guard + Adeq %'!$S$21</c:f>
              <c:strCache>
                <c:ptCount val="1"/>
                <c:pt idx="0">
                  <c:v>Western Illinois University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%'!$V$21:$AH$21</c:f>
              <c:numCache>
                <c:formatCode>0%</c:formatCode>
                <c:ptCount val="13"/>
                <c:pt idx="0">
                  <c:v>0.38838326378685378</c:v>
                </c:pt>
                <c:pt idx="1">
                  <c:v>0.37083056854318835</c:v>
                </c:pt>
                <c:pt idx="2">
                  <c:v>0.35280871696631716</c:v>
                </c:pt>
                <c:pt idx="3">
                  <c:v>0.33432885075625218</c:v>
                </c:pt>
                <c:pt idx="4">
                  <c:v>0.31540965494046302</c:v>
                </c:pt>
                <c:pt idx="5">
                  <c:v>0.29607907676328643</c:v>
                </c:pt>
                <c:pt idx="6">
                  <c:v>0.27637631540498631</c:v>
                </c:pt>
                <c:pt idx="7">
                  <c:v>0.25635408112603802</c:v>
                </c:pt>
                <c:pt idx="8">
                  <c:v>0.23608109522360118</c:v>
                </c:pt>
                <c:pt idx="9">
                  <c:v>0.2156447598831025</c:v>
                </c:pt>
                <c:pt idx="10">
                  <c:v>0.19515386498814766</c:v>
                </c:pt>
                <c:pt idx="11">
                  <c:v>0.17474111275585841</c:v>
                </c:pt>
                <c:pt idx="12">
                  <c:v>0.15456512760369254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477-AD49-874F-6F2491B05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2505263"/>
        <c:axId val="1741646384"/>
      </c:lineChart>
      <c:catAx>
        <c:axId val="205250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646384"/>
        <c:crosses val="autoZero"/>
        <c:auto val="1"/>
        <c:lblAlgn val="ctr"/>
        <c:lblOffset val="100"/>
        <c:noMultiLvlLbl val="0"/>
      </c:catAx>
      <c:valAx>
        <c:axId val="174164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505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'Opt 1 - Guard + Adeq %'!$S$10</c:f>
              <c:strCache>
                <c:ptCount val="1"/>
                <c:pt idx="0">
                  <c:v>Chicago State University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%'!$V$10:$AH$10</c:f>
              <c:numCache>
                <c:formatCode>0%</c:formatCode>
                <c:ptCount val="13"/>
                <c:pt idx="0">
                  <c:v>0.27022138623394842</c:v>
                </c:pt>
                <c:pt idx="1">
                  <c:v>0.23850227400860774</c:v>
                </c:pt>
                <c:pt idx="2">
                  <c:v>0.20879533745174567</c:v>
                </c:pt>
                <c:pt idx="3">
                  <c:v>0.18119809538818407</c:v>
                </c:pt>
                <c:pt idx="4">
                  <c:v>0.15579398860497651</c:v>
                </c:pt>
                <c:pt idx="5">
                  <c:v>0.13264796063193027</c:v>
                </c:pt>
                <c:pt idx="6">
                  <c:v>0.11180163694004876</c:v>
                </c:pt>
                <c:pt idx="7">
                  <c:v>9.3268293252176698E-2</c:v>
                </c:pt>
                <c:pt idx="8">
                  <c:v>7.7027924414310861E-2</c:v>
                </c:pt>
                <c:pt idx="9">
                  <c:v>6.3022873942172097E-2</c:v>
                </c:pt>
                <c:pt idx="10">
                  <c:v>5.1154649877800468E-2</c:v>
                </c:pt>
                <c:pt idx="11">
                  <c:v>4.1282708599398303E-2</c:v>
                </c:pt>
                <c:pt idx="12">
                  <c:v>3.322608649616015E-2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C6-A44F-84EC-7CD5EE2F2232}"/>
            </c:ext>
          </c:extLst>
        </c:ser>
        <c:ser>
          <c:idx val="1"/>
          <c:order val="1"/>
          <c:tx>
            <c:strRef>
              <c:f>'Opt 1 - Guard + Adeq %'!$S$11</c:f>
              <c:strCache>
                <c:ptCount val="1"/>
                <c:pt idx="0">
                  <c:v>Eastern Illinois University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%'!$V$11:$AH$11</c:f>
              <c:numCache>
                <c:formatCode>0%</c:formatCode>
                <c:ptCount val="13"/>
                <c:pt idx="0">
                  <c:v>0.40465202264680311</c:v>
                </c:pt>
                <c:pt idx="1">
                  <c:v>0.38237646935948083</c:v>
                </c:pt>
                <c:pt idx="2">
                  <c:v>0.35979202194632925</c:v>
                </c:pt>
                <c:pt idx="3">
                  <c:v>0.33694083431053223</c:v>
                </c:pt>
                <c:pt idx="4">
                  <c:v>0.31387615800951335</c:v>
                </c:pt>
                <c:pt idx="5">
                  <c:v>0.2906641207340106</c:v>
                </c:pt>
                <c:pt idx="6">
                  <c:v>0.2673856191348799</c:v>
                </c:pt>
                <c:pt idx="7">
                  <c:v>0.244138249689383</c:v>
                </c:pt>
                <c:pt idx="8">
                  <c:v>0.22103815177539601</c:v>
                </c:pt>
                <c:pt idx="9">
                  <c:v>0.19822157029384263</c:v>
                </c:pt>
                <c:pt idx="10">
                  <c:v>0.17584585930107677</c:v>
                </c:pt>
                <c:pt idx="11">
                  <c:v>0.1540895442329378</c:v>
                </c:pt>
                <c:pt idx="12">
                  <c:v>0.13315094468852939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C6-A44F-84EC-7CD5EE2F2232}"/>
            </c:ext>
          </c:extLst>
        </c:ser>
        <c:ser>
          <c:idx val="2"/>
          <c:order val="2"/>
          <c:tx>
            <c:strRef>
              <c:f>'Opt 1 - Guard + Adeq %'!$S$12</c:f>
              <c:strCache>
                <c:ptCount val="1"/>
                <c:pt idx="0">
                  <c:v>Governors State University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%'!$V$12:$AH$12</c:f>
              <c:numCache>
                <c:formatCode>0%</c:formatCode>
                <c:ptCount val="13"/>
                <c:pt idx="0">
                  <c:v>0.53317196549348389</c:v>
                </c:pt>
                <c:pt idx="1">
                  <c:v>0.4870483504988502</c:v>
                </c:pt>
                <c:pt idx="2">
                  <c:v>0.44199076319662783</c:v>
                </c:pt>
                <c:pt idx="3">
                  <c:v>0.39818162632207399</c:v>
                </c:pt>
                <c:pt idx="4">
                  <c:v>0.35581742520565057</c:v>
                </c:pt>
                <c:pt idx="5">
                  <c:v>0.31510730444214757</c:v>
                </c:pt>
                <c:pt idx="6">
                  <c:v>0.27627062359896543</c:v>
                </c:pt>
                <c:pt idx="7">
                  <c:v>0.23953317038804972</c:v>
                </c:pt>
                <c:pt idx="8">
                  <c:v>0.20512170081070907</c:v>
                </c:pt>
                <c:pt idx="9">
                  <c:v>0.17325647722623705</c:v>
                </c:pt>
                <c:pt idx="10">
                  <c:v>0.14414153197314597</c:v>
                </c:pt>
                <c:pt idx="11">
                  <c:v>0.11795252995422829</c:v>
                </c:pt>
                <c:pt idx="12">
                  <c:v>9.4822379684014829E-2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C6-A44F-84EC-7CD5EE2F2232}"/>
            </c:ext>
          </c:extLst>
        </c:ser>
        <c:ser>
          <c:idx val="3"/>
          <c:order val="3"/>
          <c:tx>
            <c:strRef>
              <c:f>'Opt 1 - Guard + Adeq %'!$S$13</c:f>
              <c:strCache>
                <c:ptCount val="1"/>
                <c:pt idx="0">
                  <c:v>Illinois State University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%'!$V$13:$AH$13</c:f>
              <c:numCache>
                <c:formatCode>0%</c:formatCode>
                <c:ptCount val="13"/>
                <c:pt idx="0">
                  <c:v>0.49058451667009628</c:v>
                </c:pt>
                <c:pt idx="1">
                  <c:v>0.48166384828774583</c:v>
                </c:pt>
                <c:pt idx="2">
                  <c:v>0.47219631992839167</c:v>
                </c:pt>
                <c:pt idx="3">
                  <c:v>0.46213910194299979</c:v>
                </c:pt>
                <c:pt idx="4">
                  <c:v>0.45144605999117077</c:v>
                </c:pt>
                <c:pt idx="5">
                  <c:v>0.44006772183907233</c:v>
                </c:pt>
                <c:pt idx="6">
                  <c:v>0.42795134894943615</c:v>
                </c:pt>
                <c:pt idx="7">
                  <c:v>0.415041157246616</c:v>
                </c:pt>
                <c:pt idx="8">
                  <c:v>0.40127874423875998</c:v>
                </c:pt>
                <c:pt idx="9">
                  <c:v>0.38660379486689944</c:v>
                </c:pt>
                <c:pt idx="10">
                  <c:v>0.37095515607786916</c:v>
                </c:pt>
                <c:pt idx="11">
                  <c:v>0.35427239025716606</c:v>
                </c:pt>
                <c:pt idx="12">
                  <c:v>0.33649794069946271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C6-A44F-84EC-7CD5EE2F2232}"/>
            </c:ext>
          </c:extLst>
        </c:ser>
        <c:ser>
          <c:idx val="4"/>
          <c:order val="4"/>
          <c:tx>
            <c:strRef>
              <c:f>'Opt 1 - Guard + Adeq %'!$S$14</c:f>
              <c:strCache>
                <c:ptCount val="1"/>
                <c:pt idx="0">
                  <c:v>Northeastern Illinois University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%'!$V$14:$AH$14</c:f>
              <c:numCache>
                <c:formatCode>0%</c:formatCode>
                <c:ptCount val="13"/>
                <c:pt idx="0">
                  <c:v>0.58754644939577427</c:v>
                </c:pt>
                <c:pt idx="1">
                  <c:v>0.55354080228207081</c:v>
                </c:pt>
                <c:pt idx="2">
                  <c:v>0.51920994585553326</c:v>
                </c:pt>
                <c:pt idx="3">
                  <c:v>0.48462365280737157</c:v>
                </c:pt>
                <c:pt idx="4">
                  <c:v>0.44986809487805662</c:v>
                </c:pt>
                <c:pt idx="5">
                  <c:v>0.41504828640456182</c:v>
                </c:pt>
                <c:pt idx="6">
                  <c:v>0.38029063495594184</c:v>
                </c:pt>
                <c:pt idx="7">
                  <c:v>0.34574547321952809</c:v>
                </c:pt>
                <c:pt idx="8">
                  <c:v>0.31158937293289551</c:v>
                </c:pt>
                <c:pt idx="9">
                  <c:v>0.27802694444442411</c:v>
                </c:pt>
                <c:pt idx="10">
                  <c:v>0.24529170296876499</c:v>
                </c:pt>
                <c:pt idx="11">
                  <c:v>0.21364543781909165</c:v>
                </c:pt>
                <c:pt idx="12">
                  <c:v>0.18337536491426232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C6-A44F-84EC-7CD5EE2F2232}"/>
            </c:ext>
          </c:extLst>
        </c:ser>
        <c:ser>
          <c:idx val="5"/>
          <c:order val="5"/>
          <c:tx>
            <c:strRef>
              <c:f>'Opt 1 - Guard + Adeq %'!$S$15</c:f>
              <c:strCache>
                <c:ptCount val="1"/>
                <c:pt idx="0">
                  <c:v>Northern Illinois University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%'!$V$15:$AH$15</c:f>
              <c:numCache>
                <c:formatCode>0%</c:formatCode>
                <c:ptCount val="13"/>
                <c:pt idx="0">
                  <c:v>0.46020371653692282</c:v>
                </c:pt>
                <c:pt idx="1">
                  <c:v>0.45095628411411881</c:v>
                </c:pt>
                <c:pt idx="2">
                  <c:v>0.44112622373063715</c:v>
                </c:pt>
                <c:pt idx="3">
                  <c:v>0.43067224160206247</c:v>
                </c:pt>
                <c:pt idx="4">
                  <c:v>0.41955060523425264</c:v>
                </c:pt>
                <c:pt idx="5">
                  <c:v>0.40771535472297254</c:v>
                </c:pt>
                <c:pt idx="6">
                  <c:v>0.39511867901229819</c:v>
                </c:pt>
                <c:pt idx="7">
                  <c:v>0.38171151414678123</c:v>
                </c:pt>
                <c:pt idx="8">
                  <c:v>0.36744443489431161</c:v>
                </c:pt>
                <c:pt idx="9">
                  <c:v>0.35226892738728655</c:v>
                </c:pt>
                <c:pt idx="10">
                  <c:v>0.33613914821850172</c:v>
                </c:pt>
                <c:pt idx="11">
                  <c:v>0.31901429413187182</c:v>
                </c:pt>
                <c:pt idx="12">
                  <c:v>0.30086172548988555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C6-A44F-84EC-7CD5EE2F2232}"/>
            </c:ext>
          </c:extLst>
        </c:ser>
        <c:ser>
          <c:idx val="6"/>
          <c:order val="6"/>
          <c:tx>
            <c:strRef>
              <c:f>'Opt 1 - Guard + Adeq %'!$S$16</c:f>
              <c:strCache>
                <c:ptCount val="1"/>
                <c:pt idx="0">
                  <c:v>Southern Illinois University Carbondale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%'!$V$16:$AH$16</c:f>
              <c:numCache>
                <c:formatCode>0%</c:formatCode>
                <c:ptCount val="13"/>
                <c:pt idx="0">
                  <c:v>0.10412518484326631</c:v>
                </c:pt>
                <c:pt idx="1">
                  <c:v>0.10501948031141044</c:v>
                </c:pt>
                <c:pt idx="2">
                  <c:v>0.1055844469663454</c:v>
                </c:pt>
                <c:pt idx="3">
                  <c:v>0.1057981450240489</c:v>
                </c:pt>
                <c:pt idx="4">
                  <c:v>0.10563729700890623</c:v>
                </c:pt>
                <c:pt idx="5">
                  <c:v>0.1050774168773136</c:v>
                </c:pt>
                <c:pt idx="6">
                  <c:v>0.10409303613831174</c:v>
                </c:pt>
                <c:pt idx="7">
                  <c:v>0.10265806011195629</c:v>
                </c:pt>
                <c:pt idx="8">
                  <c:v>0.1007462953477837</c:v>
                </c:pt>
                <c:pt idx="9">
                  <c:v>9.8332197700344237E-2</c:v>
                </c:pt>
                <c:pt idx="10">
                  <c:v>9.5391898954001048E-2</c:v>
                </c:pt>
                <c:pt idx="11">
                  <c:v>9.1904577126807732E-2</c:v>
                </c:pt>
                <c:pt idx="12">
                  <c:v>8.7854240137833772E-2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C6-A44F-84EC-7CD5EE2F2232}"/>
            </c:ext>
          </c:extLst>
        </c:ser>
        <c:ser>
          <c:idx val="7"/>
          <c:order val="7"/>
          <c:tx>
            <c:strRef>
              <c:f>'Opt 1 - Guard + Adeq %'!$S$17</c:f>
              <c:strCache>
                <c:ptCount val="1"/>
                <c:pt idx="0">
                  <c:v>Southern Illinois University Edwardsville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%'!$V$17:$AH$17</c:f>
              <c:numCache>
                <c:formatCode>0%</c:formatCode>
                <c:ptCount val="13"/>
                <c:pt idx="0">
                  <c:v>0.40529052806695692</c:v>
                </c:pt>
                <c:pt idx="1">
                  <c:v>0.39470365319704276</c:v>
                </c:pt>
                <c:pt idx="2">
                  <c:v>0.38356611145342723</c:v>
                </c:pt>
                <c:pt idx="3">
                  <c:v>0.37184680812433185</c:v>
                </c:pt>
                <c:pt idx="4">
                  <c:v>0.35951437719364499</c:v>
                </c:pt>
                <c:pt idx="5">
                  <c:v>0.34653781331815969</c:v>
                </c:pt>
                <c:pt idx="6">
                  <c:v>0.33288733989187663</c:v>
                </c:pt>
                <c:pt idx="7">
                  <c:v>0.31853557594386905</c:v>
                </c:pt>
                <c:pt idx="8">
                  <c:v>0.303459075572653</c:v>
                </c:pt>
                <c:pt idx="9">
                  <c:v>0.28764032381621107</c:v>
                </c:pt>
                <c:pt idx="10">
                  <c:v>0.27107028062249905</c:v>
                </c:pt>
                <c:pt idx="11">
                  <c:v>0.25375156761053291</c:v>
                </c:pt>
                <c:pt idx="12">
                  <c:v>0.23570238771409135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1C6-A44F-84EC-7CD5EE2F2232}"/>
            </c:ext>
          </c:extLst>
        </c:ser>
        <c:ser>
          <c:idx val="8"/>
          <c:order val="8"/>
          <c:tx>
            <c:strRef>
              <c:f>'Opt 1 - Guard + Adeq %'!$S$18</c:f>
              <c:strCache>
                <c:ptCount val="1"/>
                <c:pt idx="0">
                  <c:v>University of Illinois at Chicago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%'!$V$18:$AH$18</c:f>
              <c:numCache>
                <c:formatCode>0%</c:formatCode>
                <c:ptCount val="13"/>
                <c:pt idx="0">
                  <c:v>0.35335462691185071</c:v>
                </c:pt>
                <c:pt idx="1">
                  <c:v>0.35212617243832672</c:v>
                </c:pt>
                <c:pt idx="2">
                  <c:v>0.35060783282983637</c:v>
                </c:pt>
                <c:pt idx="3">
                  <c:v>0.34877250049765213</c:v>
                </c:pt>
                <c:pt idx="4">
                  <c:v>0.34658968962800324</c:v>
                </c:pt>
                <c:pt idx="5">
                  <c:v>0.34402507771008095</c:v>
                </c:pt>
                <c:pt idx="6">
                  <c:v>0.34103998658346241</c:v>
                </c:pt>
                <c:pt idx="7">
                  <c:v>0.33759079648807194</c:v>
                </c:pt>
                <c:pt idx="8">
                  <c:v>0.33362828589879928</c:v>
                </c:pt>
                <c:pt idx="9">
                  <c:v>0.3290968886836429</c:v>
                </c:pt>
                <c:pt idx="10">
                  <c:v>0.32393385782967543</c:v>
                </c:pt>
                <c:pt idx="11">
                  <c:v>0.31806832083865116</c:v>
                </c:pt>
                <c:pt idx="12">
                  <c:v>0.31142020474939008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1C6-A44F-84EC-7CD5EE2F2232}"/>
            </c:ext>
          </c:extLst>
        </c:ser>
        <c:ser>
          <c:idx val="9"/>
          <c:order val="9"/>
          <c:tx>
            <c:strRef>
              <c:f>'Opt 1 - Guard + Adeq %'!$S$19</c:f>
              <c:strCache>
                <c:ptCount val="1"/>
                <c:pt idx="0">
                  <c:v>University of Illinois at Springfield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%'!$V$19:$AH$19</c:f>
              <c:numCache>
                <c:formatCode>0%</c:formatCode>
                <c:ptCount val="13"/>
                <c:pt idx="0">
                  <c:v>0.29990402720987908</c:v>
                </c:pt>
                <c:pt idx="1">
                  <c:v>0.26980160932425995</c:v>
                </c:pt>
                <c:pt idx="2">
                  <c:v>0.24090118958307094</c:v>
                </c:pt>
                <c:pt idx="3">
                  <c:v>0.21332654095566495</c:v>
                </c:pt>
                <c:pt idx="4">
                  <c:v>0.18720265736331762</c:v>
                </c:pt>
                <c:pt idx="5">
                  <c:v>0.16265300286238638</c:v>
                </c:pt>
                <c:pt idx="6">
                  <c:v>0.13979595756629509</c:v>
                </c:pt>
                <c:pt idx="7">
                  <c:v>0.11874037001774394</c:v>
                </c:pt>
                <c:pt idx="8">
                  <c:v>9.9580173831573637E-2</c:v>
                </c:pt>
                <c:pt idx="9">
                  <c:v>8.2388114076085039E-2</c:v>
                </c:pt>
                <c:pt idx="10">
                  <c:v>6.7208769577686248E-2</c:v>
                </c:pt>
                <c:pt idx="11">
                  <c:v>5.4051262614735571E-2</c:v>
                </c:pt>
                <c:pt idx="12">
                  <c:v>4.2882320415341471E-2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1C6-A44F-84EC-7CD5EE2F2232}"/>
            </c:ext>
          </c:extLst>
        </c:ser>
        <c:ser>
          <c:idx val="10"/>
          <c:order val="10"/>
          <c:tx>
            <c:strRef>
              <c:f>'Opt 1 - Guard + Adeq %'!$S$20</c:f>
              <c:strCache>
                <c:ptCount val="1"/>
                <c:pt idx="0">
                  <c:v>University of Illinois at Urbana / Champaign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%'!$V$20:$AH$20</c:f>
              <c:numCache>
                <c:formatCode>0%</c:formatCode>
                <c:ptCount val="13"/>
                <c:pt idx="0">
                  <c:v>8.9171641702467788E-2</c:v>
                </c:pt>
                <c:pt idx="1">
                  <c:v>9.0852120338255599E-2</c:v>
                </c:pt>
                <c:pt idx="2">
                  <c:v>9.2443017954231724E-2</c:v>
                </c:pt>
                <c:pt idx="3">
                  <c:v>9.3936921691463712E-2</c:v>
                </c:pt>
                <c:pt idx="4">
                  <c:v>9.5325349518103175E-2</c:v>
                </c:pt>
                <c:pt idx="5">
                  <c:v>9.6598578032555726E-2</c:v>
                </c:pt>
                <c:pt idx="6">
                  <c:v>9.7745439693236777E-2</c:v>
                </c:pt>
                <c:pt idx="7">
                  <c:v>9.8753083462193331E-2</c:v>
                </c:pt>
                <c:pt idx="8">
                  <c:v>9.9606691327232905E-2</c:v>
                </c:pt>
                <c:pt idx="9">
                  <c:v>0.10028914102758052</c:v>
                </c:pt>
                <c:pt idx="10">
                  <c:v>0.10078060220312204</c:v>
                </c:pt>
                <c:pt idx="11">
                  <c:v>0.10105804856492902</c:v>
                </c:pt>
                <c:pt idx="12">
                  <c:v>0.10109466168119459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1C6-A44F-84EC-7CD5EE2F2232}"/>
            </c:ext>
          </c:extLst>
        </c:ser>
        <c:ser>
          <c:idx val="11"/>
          <c:order val="11"/>
          <c:tx>
            <c:strRef>
              <c:f>'Opt 1 - Guard + Adeq %'!$S$21</c:f>
              <c:strCache>
                <c:ptCount val="1"/>
                <c:pt idx="0">
                  <c:v>Western Illinois University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'Opt 1 - Guard + Adeq %'!$V$9:$AH$9</c:f>
              <c:strCache>
                <c:ptCount val="13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  <c:pt idx="5">
                  <c:v>Y5</c:v>
                </c:pt>
                <c:pt idx="6">
                  <c:v>Y6</c:v>
                </c:pt>
                <c:pt idx="7">
                  <c:v>Y7</c:v>
                </c:pt>
                <c:pt idx="8">
                  <c:v>Y8</c:v>
                </c:pt>
                <c:pt idx="9">
                  <c:v>Y9</c:v>
                </c:pt>
                <c:pt idx="10">
                  <c:v>Y10</c:v>
                </c:pt>
                <c:pt idx="11">
                  <c:v>Y11</c:v>
                </c:pt>
                <c:pt idx="12">
                  <c:v>Y12</c:v>
                </c:pt>
              </c:strCache>
            </c:strRef>
          </c:cat>
          <c:val>
            <c:numRef>
              <c:f>'Opt 1 - Guard + Adeq %'!$V$21:$AH$21</c:f>
              <c:numCache>
                <c:formatCode>0%</c:formatCode>
                <c:ptCount val="13"/>
                <c:pt idx="0">
                  <c:v>0.38838326378685378</c:v>
                </c:pt>
                <c:pt idx="1">
                  <c:v>0.37083056854318835</c:v>
                </c:pt>
                <c:pt idx="2">
                  <c:v>0.35280871696631716</c:v>
                </c:pt>
                <c:pt idx="3">
                  <c:v>0.33432885075625218</c:v>
                </c:pt>
                <c:pt idx="4">
                  <c:v>0.31540965494046302</c:v>
                </c:pt>
                <c:pt idx="5">
                  <c:v>0.29607907676328643</c:v>
                </c:pt>
                <c:pt idx="6">
                  <c:v>0.27637631540498631</c:v>
                </c:pt>
                <c:pt idx="7">
                  <c:v>0.25635408112603802</c:v>
                </c:pt>
                <c:pt idx="8">
                  <c:v>0.23608109522360118</c:v>
                </c:pt>
                <c:pt idx="9">
                  <c:v>0.2156447598831025</c:v>
                </c:pt>
                <c:pt idx="10">
                  <c:v>0.19515386498814766</c:v>
                </c:pt>
                <c:pt idx="11">
                  <c:v>0.17474111275585841</c:v>
                </c:pt>
                <c:pt idx="12">
                  <c:v>0.15456512760369254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1C6-A44F-84EC-7CD5EE2F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2505263"/>
        <c:axId val="1741646384"/>
      </c:lineChart>
      <c:catAx>
        <c:axId val="205250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646384"/>
        <c:crosses val="autoZero"/>
        <c:auto val="1"/>
        <c:lblAlgn val="ctr"/>
        <c:lblOffset val="100"/>
        <c:noMultiLvlLbl val="0"/>
      </c:catAx>
      <c:valAx>
        <c:axId val="174164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505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254000</xdr:colOff>
      <xdr:row>3</xdr:row>
      <xdr:rowOff>6350</xdr:rowOff>
    </xdr:from>
    <xdr:to>
      <xdr:col>90</xdr:col>
      <xdr:colOff>76200</xdr:colOff>
      <xdr:row>33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B14D70-8E2F-EA44-8811-D68DB2A07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468490</xdr:colOff>
      <xdr:row>3</xdr:row>
      <xdr:rowOff>129117</xdr:rowOff>
    </xdr:from>
    <xdr:to>
      <xdr:col>53</xdr:col>
      <xdr:colOff>290689</xdr:colOff>
      <xdr:row>32</xdr:row>
      <xdr:rowOff>153812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8E8536-304E-4F53-B8FF-474A36B926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D7A12-CD09-3749-9651-4C47A20B381B}">
  <dimension ref="B2:Z74"/>
  <sheetViews>
    <sheetView zoomScale="150" zoomScaleNormal="150" workbookViewId="0">
      <selection activeCell="R16" sqref="R16"/>
    </sheetView>
  </sheetViews>
  <sheetFormatPr baseColWidth="10" defaultRowHeight="15" x14ac:dyDescent="0.2"/>
  <cols>
    <col min="3" max="3" width="11.5" customWidth="1"/>
    <col min="4" max="4" width="10.83203125" hidden="1" customWidth="1"/>
    <col min="5" max="5" width="11.1640625" customWidth="1"/>
    <col min="6" max="7" width="11.1640625" hidden="1" customWidth="1"/>
    <col min="8" max="8" width="11.1640625" customWidth="1"/>
    <col min="9" max="10" width="11.1640625" hidden="1" customWidth="1"/>
    <col min="11" max="11" width="12.1640625" customWidth="1"/>
    <col min="12" max="12" width="0" hidden="1" customWidth="1"/>
    <col min="13" max="13" width="4" customWidth="1"/>
    <col min="14" max="14" width="0" hidden="1" customWidth="1"/>
    <col min="15" max="15" width="10" hidden="1" customWidth="1"/>
    <col min="16" max="16" width="13.6640625" hidden="1" customWidth="1"/>
    <col min="17" max="17" width="0" hidden="1" customWidth="1"/>
    <col min="19" max="21" width="12.83203125" customWidth="1"/>
    <col min="22" max="22" width="2.83203125" customWidth="1"/>
    <col min="24" max="26" width="13.1640625" bestFit="1" customWidth="1"/>
  </cols>
  <sheetData>
    <row r="2" spans="3:26" x14ac:dyDescent="0.2">
      <c r="C2" s="69" t="s">
        <v>109</v>
      </c>
      <c r="E2" t="s">
        <v>110</v>
      </c>
    </row>
    <row r="3" spans="3:26" x14ac:dyDescent="0.2">
      <c r="C3" s="69" t="s">
        <v>111</v>
      </c>
      <c r="E3" t="s">
        <v>116</v>
      </c>
    </row>
    <row r="5" spans="3:26" ht="15" customHeight="1" x14ac:dyDescent="0.2">
      <c r="C5" s="240" t="s">
        <v>121</v>
      </c>
      <c r="D5" s="240"/>
      <c r="E5" s="240"/>
      <c r="F5" s="240"/>
      <c r="G5" s="240"/>
      <c r="H5" s="240"/>
      <c r="I5" s="240"/>
      <c r="J5" s="240"/>
      <c r="K5" s="240"/>
      <c r="L5" s="240"/>
    </row>
    <row r="6" spans="3:26" x14ac:dyDescent="0.2">
      <c r="C6" s="240"/>
      <c r="D6" s="240"/>
      <c r="E6" s="240"/>
      <c r="F6" s="240"/>
      <c r="G6" s="240"/>
      <c r="H6" s="240"/>
      <c r="I6" s="240"/>
      <c r="J6" s="240"/>
      <c r="K6" s="240"/>
      <c r="L6" s="240"/>
    </row>
    <row r="7" spans="3:26" ht="15" customHeight="1" x14ac:dyDescent="0.2">
      <c r="C7" s="66"/>
      <c r="D7" s="239" t="s">
        <v>112</v>
      </c>
      <c r="E7" s="237"/>
      <c r="F7" s="238"/>
      <c r="G7" s="239" t="s">
        <v>113</v>
      </c>
      <c r="H7" s="237"/>
      <c r="I7" s="238"/>
      <c r="J7" s="239" t="s">
        <v>114</v>
      </c>
      <c r="K7" s="237"/>
      <c r="L7" s="238"/>
      <c r="N7" t="s">
        <v>127</v>
      </c>
    </row>
    <row r="8" spans="3:26" x14ac:dyDescent="0.2">
      <c r="C8" s="7"/>
      <c r="D8" s="90" t="s">
        <v>80</v>
      </c>
      <c r="E8" s="91" t="s">
        <v>81</v>
      </c>
      <c r="F8" s="92" t="s">
        <v>82</v>
      </c>
      <c r="G8" s="90" t="s">
        <v>80</v>
      </c>
      <c r="H8" s="91" t="s">
        <v>81</v>
      </c>
      <c r="I8" s="92" t="s">
        <v>82</v>
      </c>
      <c r="J8" s="90" t="s">
        <v>80</v>
      </c>
      <c r="K8" s="91" t="s">
        <v>81</v>
      </c>
      <c r="L8" s="92" t="s">
        <v>82</v>
      </c>
    </row>
    <row r="9" spans="3:26" x14ac:dyDescent="0.2">
      <c r="C9" s="62"/>
      <c r="D9" s="84">
        <v>0.75</v>
      </c>
      <c r="E9" s="85">
        <v>0.75</v>
      </c>
      <c r="F9" s="86">
        <v>0.75</v>
      </c>
      <c r="G9" s="84">
        <v>0.67</v>
      </c>
      <c r="H9" s="85">
        <v>0.67</v>
      </c>
      <c r="I9" s="86">
        <v>0.67</v>
      </c>
      <c r="J9" s="84">
        <v>0.5</v>
      </c>
      <c r="K9" s="85">
        <v>0.5</v>
      </c>
      <c r="L9" s="86">
        <v>0.5</v>
      </c>
    </row>
    <row r="10" spans="3:26" x14ac:dyDescent="0.2">
      <c r="C10" s="62"/>
      <c r="D10" s="62"/>
      <c r="E10" s="62"/>
      <c r="F10" s="62"/>
      <c r="G10" s="62"/>
      <c r="H10" s="62"/>
      <c r="I10" s="62"/>
      <c r="J10" s="62"/>
      <c r="K10" s="62"/>
      <c r="L10" s="62"/>
    </row>
    <row r="11" spans="3:26" ht="15" customHeight="1" x14ac:dyDescent="0.2">
      <c r="C11" s="236" t="s">
        <v>203</v>
      </c>
      <c r="D11" s="236"/>
      <c r="E11" s="236"/>
      <c r="F11" s="236"/>
      <c r="G11" s="236"/>
      <c r="H11" s="236"/>
      <c r="I11" s="236"/>
      <c r="J11" s="236"/>
      <c r="K11" s="236"/>
      <c r="L11" s="236"/>
      <c r="N11" s="240" t="s">
        <v>163</v>
      </c>
      <c r="O11" s="240"/>
      <c r="P11" s="240"/>
      <c r="R11" s="236" t="s">
        <v>202</v>
      </c>
      <c r="S11" s="236"/>
      <c r="T11" s="236"/>
      <c r="U11" s="236"/>
      <c r="W11" s="235" t="s">
        <v>204</v>
      </c>
      <c r="X11" s="235"/>
      <c r="Y11" s="235"/>
      <c r="Z11" s="235"/>
    </row>
    <row r="12" spans="3:26" ht="15" customHeight="1" x14ac:dyDescent="0.2"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N12" s="241"/>
      <c r="O12" s="241"/>
      <c r="P12" s="241"/>
      <c r="R12" s="236"/>
      <c r="S12" s="236"/>
      <c r="T12" s="236"/>
      <c r="U12" s="236"/>
      <c r="W12" s="235"/>
      <c r="X12" s="235"/>
      <c r="Y12" s="235"/>
      <c r="Z12" s="235"/>
    </row>
    <row r="13" spans="3:26" ht="15" customHeight="1" x14ac:dyDescent="0.2">
      <c r="C13" s="151" t="s">
        <v>16</v>
      </c>
      <c r="D13" s="237" t="s">
        <v>154</v>
      </c>
      <c r="E13" s="237"/>
      <c r="F13" s="238"/>
      <c r="G13" s="239" t="s">
        <v>155</v>
      </c>
      <c r="H13" s="237"/>
      <c r="I13" s="238"/>
      <c r="J13" s="239" t="s">
        <v>157</v>
      </c>
      <c r="K13" s="237"/>
      <c r="L13" s="238"/>
      <c r="N13" s="154" t="s">
        <v>16</v>
      </c>
      <c r="O13" s="154" t="s">
        <v>164</v>
      </c>
      <c r="P13" s="154" t="s">
        <v>165</v>
      </c>
      <c r="R13" s="151" t="s">
        <v>16</v>
      </c>
      <c r="S13" s="109" t="s">
        <v>154</v>
      </c>
      <c r="T13" s="109" t="s">
        <v>155</v>
      </c>
      <c r="U13" s="109" t="s">
        <v>157</v>
      </c>
      <c r="W13" s="151" t="s">
        <v>16</v>
      </c>
      <c r="X13" s="109" t="s">
        <v>154</v>
      </c>
      <c r="Y13" s="109" t="s">
        <v>155</v>
      </c>
      <c r="Z13" s="109" t="s">
        <v>157</v>
      </c>
    </row>
    <row r="14" spans="3:26" hidden="1" x14ac:dyDescent="0.2">
      <c r="D14" s="90" t="s">
        <v>80</v>
      </c>
      <c r="E14" s="91" t="s">
        <v>81</v>
      </c>
      <c r="F14" s="92" t="s">
        <v>82</v>
      </c>
      <c r="G14" s="90" t="s">
        <v>80</v>
      </c>
      <c r="H14" s="91" t="s">
        <v>81</v>
      </c>
      <c r="I14" s="92" t="s">
        <v>82</v>
      </c>
      <c r="J14" s="90" t="s">
        <v>80</v>
      </c>
      <c r="K14" s="91" t="s">
        <v>81</v>
      </c>
      <c r="L14" s="92" t="s">
        <v>82</v>
      </c>
      <c r="S14" s="92" t="s">
        <v>82</v>
      </c>
      <c r="T14" s="92" t="s">
        <v>82</v>
      </c>
      <c r="U14" s="92" t="s">
        <v>82</v>
      </c>
      <c r="X14" s="83" t="s">
        <v>82</v>
      </c>
      <c r="Y14" s="83" t="s">
        <v>82</v>
      </c>
      <c r="Z14" s="83" t="s">
        <v>82</v>
      </c>
    </row>
    <row r="15" spans="3:26" ht="32" x14ac:dyDescent="0.2">
      <c r="C15" s="62">
        <v>0.02</v>
      </c>
      <c r="D15" s="70">
        <v>0.14300000000000002</v>
      </c>
      <c r="E15" s="110">
        <v>6.7000000000000004E-2</v>
      </c>
      <c r="F15" s="175">
        <v>8.8999999999999996E-2</v>
      </c>
      <c r="G15" s="176">
        <v>0.1</v>
      </c>
      <c r="H15" s="72">
        <v>5.1500000000000004E-2</v>
      </c>
      <c r="I15" s="175">
        <v>5.1500000000000004E-2</v>
      </c>
      <c r="J15" s="176">
        <v>3.6999999999999998E-2</v>
      </c>
      <c r="K15" s="71">
        <v>3.4000000000000002E-2</v>
      </c>
      <c r="L15" s="72">
        <v>3.4000000000000002E-2</v>
      </c>
      <c r="N15" s="62">
        <v>0.02</v>
      </c>
      <c r="O15" s="110">
        <v>7.6999999999999999E-2</v>
      </c>
      <c r="P15" s="172" t="s">
        <v>170</v>
      </c>
      <c r="R15" s="62">
        <v>0.02</v>
      </c>
      <c r="S15" s="174">
        <v>76530408.299999952</v>
      </c>
      <c r="T15" s="6">
        <v>58825612.350000143</v>
      </c>
      <c r="U15" s="6">
        <v>38836326.600000143</v>
      </c>
      <c r="W15" s="100">
        <v>0.02</v>
      </c>
      <c r="X15" s="181" t="s">
        <v>175</v>
      </c>
      <c r="Y15" s="182" t="s">
        <v>176</v>
      </c>
      <c r="Z15" s="182" t="s">
        <v>177</v>
      </c>
    </row>
    <row r="16" spans="3:26" ht="32" x14ac:dyDescent="0.2">
      <c r="C16" s="62">
        <v>0.03</v>
      </c>
      <c r="D16" s="70">
        <v>0.215</v>
      </c>
      <c r="E16" s="110">
        <v>0.10100000000000001</v>
      </c>
      <c r="F16" s="175">
        <v>0.112</v>
      </c>
      <c r="G16" s="176">
        <v>0.15</v>
      </c>
      <c r="H16" s="72">
        <v>7.6999999999999999E-2</v>
      </c>
      <c r="I16" s="175">
        <v>7.6999999999999999E-2</v>
      </c>
      <c r="J16" s="176">
        <v>5.6000000000000001E-2</v>
      </c>
      <c r="K16" s="71">
        <v>5.0999999999999997E-2</v>
      </c>
      <c r="L16" s="72">
        <v>5.0999999999999997E-2</v>
      </c>
      <c r="N16" s="62">
        <v>0.03</v>
      </c>
      <c r="O16" s="110">
        <v>0.09</v>
      </c>
      <c r="P16" s="172" t="s">
        <v>171</v>
      </c>
      <c r="R16" s="62">
        <v>0.03</v>
      </c>
      <c r="S16" s="6">
        <v>115366734.89999986</v>
      </c>
      <c r="T16" s="6">
        <v>87952857.299999952</v>
      </c>
      <c r="U16" s="6">
        <v>58254489.899999857</v>
      </c>
      <c r="W16" s="100">
        <v>0.03</v>
      </c>
      <c r="X16" s="182" t="s">
        <v>178</v>
      </c>
      <c r="Y16" s="182" t="s">
        <v>179</v>
      </c>
      <c r="Z16" s="182" t="s">
        <v>180</v>
      </c>
    </row>
    <row r="17" spans="3:26" ht="32" x14ac:dyDescent="0.2">
      <c r="C17" s="62">
        <v>0.04</v>
      </c>
      <c r="D17" s="87" t="s">
        <v>83</v>
      </c>
      <c r="E17" s="110">
        <v>0.13450000000000001</v>
      </c>
      <c r="F17" s="175">
        <v>0.13300000000000001</v>
      </c>
      <c r="G17" s="177" t="s">
        <v>83</v>
      </c>
      <c r="H17" s="72">
        <v>0.10300000000000001</v>
      </c>
      <c r="I17" s="175">
        <v>0.10300000000000001</v>
      </c>
      <c r="J17" s="176">
        <v>7.4499999999999997E-2</v>
      </c>
      <c r="K17" s="71">
        <v>6.8000000000000005E-2</v>
      </c>
      <c r="L17" s="72">
        <v>6.8000000000000005E-2</v>
      </c>
      <c r="N17" s="62">
        <v>0.04</v>
      </c>
      <c r="O17" s="110">
        <v>0.10100000000000001</v>
      </c>
      <c r="P17" s="172" t="s">
        <v>172</v>
      </c>
      <c r="R17" s="62">
        <v>0.04</v>
      </c>
      <c r="S17" s="6">
        <v>153631939.04999995</v>
      </c>
      <c r="T17" s="6">
        <v>117651224.70000005</v>
      </c>
      <c r="U17" s="6">
        <v>77672653.200000048</v>
      </c>
      <c r="W17" s="100">
        <v>0.04</v>
      </c>
      <c r="X17" s="182" t="s">
        <v>181</v>
      </c>
      <c r="Y17" s="182" t="s">
        <v>182</v>
      </c>
      <c r="Z17" s="182" t="s">
        <v>183</v>
      </c>
    </row>
    <row r="18" spans="3:26" ht="32" x14ac:dyDescent="0.2">
      <c r="C18" s="62">
        <v>0.05</v>
      </c>
      <c r="D18" s="87" t="s">
        <v>83</v>
      </c>
      <c r="E18" s="110">
        <v>0.16800000000000001</v>
      </c>
      <c r="F18" s="175">
        <v>0.16600000000000001</v>
      </c>
      <c r="G18" s="177" t="s">
        <v>83</v>
      </c>
      <c r="H18" s="72">
        <v>0.129</v>
      </c>
      <c r="I18" s="175">
        <v>0.129</v>
      </c>
      <c r="J18" s="176">
        <v>9.2999999999999999E-2</v>
      </c>
      <c r="K18" s="72">
        <v>8.5000000000000006E-2</v>
      </c>
      <c r="L18" s="72">
        <v>8.5000000000000006E-2</v>
      </c>
      <c r="N18" s="62">
        <v>0.05</v>
      </c>
      <c r="O18" s="110">
        <v>0.109</v>
      </c>
      <c r="P18" s="172" t="s">
        <v>173</v>
      </c>
      <c r="R18" s="62">
        <v>0.05</v>
      </c>
      <c r="S18" s="6">
        <v>191897143.19999981</v>
      </c>
      <c r="T18" s="6">
        <v>147349592.0999999</v>
      </c>
      <c r="U18" s="6">
        <v>97090816.5</v>
      </c>
      <c r="W18" s="100">
        <v>0.05</v>
      </c>
      <c r="X18" s="182" t="s">
        <v>184</v>
      </c>
      <c r="Y18" s="182" t="s">
        <v>185</v>
      </c>
      <c r="Z18" s="182" t="s">
        <v>186</v>
      </c>
    </row>
    <row r="19" spans="3:26" ht="32" x14ac:dyDescent="0.2">
      <c r="C19" s="85">
        <v>0.06</v>
      </c>
      <c r="D19" s="88" t="s">
        <v>83</v>
      </c>
      <c r="E19" s="155">
        <v>0.20200000000000001</v>
      </c>
      <c r="F19" s="178">
        <v>0.19900000000000001</v>
      </c>
      <c r="G19" s="179" t="s">
        <v>83</v>
      </c>
      <c r="H19" s="74">
        <v>0.1545</v>
      </c>
      <c r="I19" s="178">
        <v>0.1545</v>
      </c>
      <c r="J19" s="180">
        <v>0.1115</v>
      </c>
      <c r="K19" s="74">
        <v>0.10199999999999999</v>
      </c>
      <c r="L19" s="74">
        <v>0.10199999999999999</v>
      </c>
      <c r="N19" s="85">
        <v>0.06</v>
      </c>
      <c r="O19" s="155">
        <v>0.11899999999999999</v>
      </c>
      <c r="P19" s="173" t="s">
        <v>174</v>
      </c>
      <c r="R19" s="85">
        <v>0.06</v>
      </c>
      <c r="S19" s="6">
        <v>230733469.79999995</v>
      </c>
      <c r="T19" s="6">
        <v>176476837.04999995</v>
      </c>
      <c r="U19" s="6">
        <v>116508979.80000019</v>
      </c>
      <c r="W19" s="100">
        <v>0.06</v>
      </c>
      <c r="X19" s="182" t="s">
        <v>187</v>
      </c>
      <c r="Y19" s="182" t="s">
        <v>188</v>
      </c>
      <c r="Z19" s="182" t="s">
        <v>189</v>
      </c>
    </row>
    <row r="20" spans="3:26" x14ac:dyDescent="0.2">
      <c r="D20" s="89" t="s">
        <v>117</v>
      </c>
    </row>
    <row r="22" spans="3:26" ht="15" customHeight="1" x14ac:dyDescent="0.2">
      <c r="C22" s="236" t="s">
        <v>122</v>
      </c>
      <c r="D22" s="236"/>
      <c r="E22" s="236"/>
      <c r="F22" s="236"/>
      <c r="G22" s="236"/>
      <c r="H22" s="236"/>
      <c r="I22" s="236"/>
      <c r="J22" s="236"/>
      <c r="K22" s="236"/>
      <c r="L22" s="236"/>
    </row>
    <row r="23" spans="3:26" x14ac:dyDescent="0.2">
      <c r="C23" s="236"/>
      <c r="D23" s="236"/>
      <c r="E23" s="236"/>
      <c r="F23" s="236"/>
      <c r="G23" s="236"/>
      <c r="H23" s="236"/>
      <c r="I23" s="236"/>
      <c r="J23" s="236"/>
      <c r="K23" s="236"/>
      <c r="L23" s="236"/>
    </row>
    <row r="24" spans="3:26" ht="15" customHeight="1" x14ac:dyDescent="0.2">
      <c r="C24" s="151" t="s">
        <v>16</v>
      </c>
      <c r="D24" s="237" t="s">
        <v>154</v>
      </c>
      <c r="E24" s="237"/>
      <c r="F24" s="238"/>
      <c r="G24" s="239" t="s">
        <v>155</v>
      </c>
      <c r="H24" s="237"/>
      <c r="I24" s="238"/>
      <c r="J24" s="239" t="s">
        <v>157</v>
      </c>
      <c r="K24" s="237"/>
      <c r="L24" s="238"/>
    </row>
    <row r="25" spans="3:26" ht="15" hidden="1" customHeight="1" x14ac:dyDescent="0.2">
      <c r="C25" s="7" t="s">
        <v>16</v>
      </c>
      <c r="D25" s="90" t="s">
        <v>80</v>
      </c>
      <c r="E25" s="91" t="s">
        <v>81</v>
      </c>
      <c r="F25" s="92" t="s">
        <v>82</v>
      </c>
      <c r="G25" s="90" t="s">
        <v>80</v>
      </c>
      <c r="H25" s="91" t="s">
        <v>81</v>
      </c>
      <c r="I25" s="92" t="s">
        <v>82</v>
      </c>
      <c r="J25" s="90" t="s">
        <v>80</v>
      </c>
      <c r="K25" s="91" t="s">
        <v>81</v>
      </c>
      <c r="L25" s="92" t="s">
        <v>82</v>
      </c>
    </row>
    <row r="26" spans="3:26" ht="15" customHeight="1" x14ac:dyDescent="0.2">
      <c r="C26" s="62">
        <v>0.02</v>
      </c>
      <c r="D26" s="93">
        <v>1.23E-2</v>
      </c>
      <c r="E26" s="183">
        <v>1.5599999999999999E-2</v>
      </c>
      <c r="F26" s="183">
        <v>1.5300000000000001E-2</v>
      </c>
      <c r="G26" s="184">
        <v>1.5300000000000001E-2</v>
      </c>
      <c r="H26" s="183">
        <v>1.8200000000000001E-2</v>
      </c>
      <c r="I26" s="185">
        <v>1.8000000000000002E-2</v>
      </c>
      <c r="J26" s="183">
        <v>2.1500000000000002E-2</v>
      </c>
      <c r="K26" s="183">
        <v>2.3800000000000002E-2</v>
      </c>
      <c r="L26" s="94">
        <v>2.35E-2</v>
      </c>
      <c r="N26" s="65"/>
      <c r="P26" s="65"/>
      <c r="Q26" s="65"/>
      <c r="R26" s="234" t="s">
        <v>205</v>
      </c>
      <c r="S26" s="65"/>
    </row>
    <row r="27" spans="3:26" ht="15" customHeight="1" x14ac:dyDescent="0.3">
      <c r="C27" s="62">
        <v>0.03</v>
      </c>
      <c r="D27" s="70">
        <v>1.5299999999999999E-2</v>
      </c>
      <c r="E27" s="186">
        <v>1.9599999999999999E-2</v>
      </c>
      <c r="F27" s="186">
        <v>1.9199999999999998E-2</v>
      </c>
      <c r="G27" s="176">
        <v>1.9199999999999998E-2</v>
      </c>
      <c r="H27" s="186">
        <v>2.2800000000000001E-2</v>
      </c>
      <c r="I27" s="175">
        <v>2.24E-2</v>
      </c>
      <c r="J27" s="186">
        <v>2.69E-2</v>
      </c>
      <c r="K27" s="186">
        <v>2.9699999999999997E-2</v>
      </c>
      <c r="L27" s="72">
        <v>2.9399999999999999E-2</v>
      </c>
      <c r="N27" s="65"/>
      <c r="O27" s="170"/>
      <c r="Q27" s="65"/>
      <c r="R27" s="65"/>
      <c r="S27" s="65"/>
    </row>
    <row r="28" spans="3:26" ht="15" customHeight="1" x14ac:dyDescent="0.3">
      <c r="C28" s="62">
        <v>0.04</v>
      </c>
      <c r="D28" s="70">
        <v>1.84E-2</v>
      </c>
      <c r="E28" s="186">
        <v>2.35E-2</v>
      </c>
      <c r="F28" s="186">
        <v>2.3E-2</v>
      </c>
      <c r="G28" s="176">
        <v>2.3E-2</v>
      </c>
      <c r="H28" s="186">
        <v>2.7400000000000001E-2</v>
      </c>
      <c r="I28" s="175">
        <v>2.69E-2</v>
      </c>
      <c r="J28" s="186">
        <v>3.2300000000000002E-2</v>
      </c>
      <c r="K28" s="186">
        <v>3.56E-2</v>
      </c>
      <c r="L28" s="72">
        <v>3.5299999999999998E-2</v>
      </c>
      <c r="N28" s="65"/>
      <c r="O28" s="170"/>
      <c r="P28" s="171"/>
      <c r="Q28" s="65"/>
      <c r="R28" s="65"/>
      <c r="S28" s="65"/>
    </row>
    <row r="29" spans="3:26" ht="15" customHeight="1" x14ac:dyDescent="0.3">
      <c r="C29" s="62">
        <v>0.05</v>
      </c>
      <c r="D29" s="70">
        <v>2.1500000000000002E-2</v>
      </c>
      <c r="E29" s="186">
        <v>2.7400000000000004E-2</v>
      </c>
      <c r="F29" s="186">
        <v>2.6800000000000004E-2</v>
      </c>
      <c r="G29" s="176">
        <v>2.6900000000000004E-2</v>
      </c>
      <c r="H29" s="186">
        <v>3.1899999999999998E-2</v>
      </c>
      <c r="I29" s="175">
        <v>3.1400000000000004E-2</v>
      </c>
      <c r="J29" s="186">
        <v>3.7600000000000001E-2</v>
      </c>
      <c r="K29" s="186">
        <v>4.1600000000000005E-2</v>
      </c>
      <c r="L29" s="72">
        <v>4.1200000000000001E-2</v>
      </c>
      <c r="N29" s="65"/>
      <c r="O29" s="170"/>
      <c r="P29" s="171"/>
      <c r="Q29" s="65"/>
      <c r="R29" s="65"/>
      <c r="S29" s="65"/>
    </row>
    <row r="30" spans="3:26" ht="15" customHeight="1" x14ac:dyDescent="0.3">
      <c r="C30" s="85">
        <v>0.06</v>
      </c>
      <c r="D30" s="75">
        <v>2.4500000000000001E-2</v>
      </c>
      <c r="E30" s="187">
        <v>3.1299999999999994E-2</v>
      </c>
      <c r="F30" s="187">
        <v>3.0599999999999999E-2</v>
      </c>
      <c r="G30" s="180">
        <v>3.0699999999999998E-2</v>
      </c>
      <c r="H30" s="187">
        <v>3.6499999999999998E-2</v>
      </c>
      <c r="I30" s="178">
        <v>3.5900000000000001E-2</v>
      </c>
      <c r="J30" s="187">
        <v>4.2999999999999997E-2</v>
      </c>
      <c r="K30" s="187">
        <v>4.7500000000000001E-2</v>
      </c>
      <c r="L30" s="74">
        <v>4.7099999999999996E-2</v>
      </c>
      <c r="N30" s="65"/>
      <c r="O30" s="170"/>
      <c r="P30" s="171"/>
      <c r="Q30" s="65"/>
      <c r="R30" s="65"/>
      <c r="S30" s="65"/>
    </row>
    <row r="31" spans="3:26" ht="24" x14ac:dyDescent="0.3">
      <c r="O31" s="170"/>
      <c r="P31" s="171"/>
    </row>
    <row r="32" spans="3:26" ht="15" customHeight="1" x14ac:dyDescent="0.3">
      <c r="C32" s="236" t="s">
        <v>124</v>
      </c>
      <c r="D32" s="236"/>
      <c r="E32" s="236"/>
      <c r="F32" s="236"/>
      <c r="G32" s="236"/>
      <c r="H32" s="236"/>
      <c r="I32" s="236"/>
      <c r="J32" s="236"/>
      <c r="K32" s="236"/>
      <c r="L32" s="236"/>
      <c r="P32" s="171"/>
    </row>
    <row r="33" spans="2:19" x14ac:dyDescent="0.2">
      <c r="C33" s="236"/>
      <c r="D33" s="236"/>
      <c r="E33" s="236"/>
      <c r="F33" s="236"/>
      <c r="G33" s="236"/>
      <c r="H33" s="236"/>
      <c r="I33" s="236"/>
      <c r="J33" s="236"/>
      <c r="K33" s="236"/>
      <c r="L33" s="236"/>
    </row>
    <row r="34" spans="2:19" ht="15" customHeight="1" x14ac:dyDescent="0.2">
      <c r="C34" s="151" t="s">
        <v>16</v>
      </c>
      <c r="D34" s="237" t="s">
        <v>154</v>
      </c>
      <c r="E34" s="237"/>
      <c r="F34" s="238"/>
      <c r="G34" s="239" t="s">
        <v>155</v>
      </c>
      <c r="H34" s="237"/>
      <c r="I34" s="238"/>
      <c r="J34" s="239" t="s">
        <v>157</v>
      </c>
      <c r="K34" s="237"/>
      <c r="L34" s="238"/>
    </row>
    <row r="35" spans="2:19" hidden="1" x14ac:dyDescent="0.2">
      <c r="D35" s="90" t="s">
        <v>80</v>
      </c>
      <c r="E35" s="91" t="s">
        <v>81</v>
      </c>
      <c r="F35" s="92" t="s">
        <v>82</v>
      </c>
      <c r="G35" s="90" t="s">
        <v>80</v>
      </c>
      <c r="H35" s="91" t="s">
        <v>81</v>
      </c>
      <c r="I35" s="92" t="s">
        <v>82</v>
      </c>
      <c r="J35" s="81" t="s">
        <v>80</v>
      </c>
      <c r="K35" s="82" t="s">
        <v>81</v>
      </c>
      <c r="L35" s="83" t="s">
        <v>82</v>
      </c>
    </row>
    <row r="36" spans="2:19" x14ac:dyDescent="0.2">
      <c r="C36" s="62">
        <v>0.02</v>
      </c>
      <c r="D36" s="93">
        <v>3.0999999999999999E-3</v>
      </c>
      <c r="E36" s="183">
        <v>3.8999999999999998E-3</v>
      </c>
      <c r="F36" s="183">
        <v>3.8E-3</v>
      </c>
      <c r="G36" s="184">
        <v>3.8E-3</v>
      </c>
      <c r="H36" s="183">
        <v>4.5999999999999999E-3</v>
      </c>
      <c r="I36" s="183">
        <v>4.4999999999999997E-3</v>
      </c>
      <c r="J36" s="184">
        <v>5.4000000000000003E-3</v>
      </c>
      <c r="K36" s="183">
        <v>5.8999999999999999E-3</v>
      </c>
      <c r="L36" s="94">
        <v>5.8999999999999999E-3</v>
      </c>
      <c r="N36" s="65"/>
      <c r="O36" s="65"/>
      <c r="P36" s="65"/>
      <c r="Q36" s="65"/>
      <c r="R36" s="234" t="s">
        <v>205</v>
      </c>
      <c r="S36" s="65"/>
    </row>
    <row r="37" spans="2:19" x14ac:dyDescent="0.2">
      <c r="C37" s="62">
        <v>0.03</v>
      </c>
      <c r="D37" s="70">
        <v>6.1000000000000004E-3</v>
      </c>
      <c r="E37" s="186">
        <v>7.7999999999999996E-3</v>
      </c>
      <c r="F37" s="186">
        <v>7.7000000000000002E-3</v>
      </c>
      <c r="G37" s="176">
        <v>7.7000000000000002E-3</v>
      </c>
      <c r="H37" s="186">
        <v>9.1999999999999998E-3</v>
      </c>
      <c r="I37" s="186">
        <v>8.9999999999999993E-3</v>
      </c>
      <c r="J37" s="176">
        <v>1.0800000000000001E-2</v>
      </c>
      <c r="K37" s="186">
        <v>1.1900000000000001E-2</v>
      </c>
      <c r="L37" s="72">
        <v>1.18E-2</v>
      </c>
      <c r="N37" s="65"/>
      <c r="O37" s="65"/>
      <c r="P37" s="65"/>
      <c r="Q37" s="65"/>
      <c r="R37" s="65"/>
      <c r="S37" s="65"/>
    </row>
    <row r="38" spans="2:19" x14ac:dyDescent="0.2">
      <c r="C38" s="62">
        <v>0.04</v>
      </c>
      <c r="D38" s="70">
        <v>9.1999999999999998E-3</v>
      </c>
      <c r="E38" s="186">
        <v>1.17E-2</v>
      </c>
      <c r="F38" s="186">
        <v>1.15E-2</v>
      </c>
      <c r="G38" s="176">
        <v>1.15E-2</v>
      </c>
      <c r="H38" s="186">
        <v>1.38E-2</v>
      </c>
      <c r="I38" s="186">
        <v>1.35E-2</v>
      </c>
      <c r="J38" s="176">
        <v>1.61E-2</v>
      </c>
      <c r="K38" s="186">
        <v>1.78E-2</v>
      </c>
      <c r="L38" s="72">
        <v>1.77E-2</v>
      </c>
      <c r="N38" s="65"/>
      <c r="O38" s="65"/>
      <c r="P38" s="65"/>
      <c r="Q38" s="65"/>
      <c r="R38" s="65"/>
      <c r="S38" s="65"/>
    </row>
    <row r="39" spans="2:19" x14ac:dyDescent="0.2">
      <c r="C39" s="62">
        <v>0.05</v>
      </c>
      <c r="D39" s="70">
        <v>1.23E-2</v>
      </c>
      <c r="E39" s="186">
        <v>1.5599999999999999E-2</v>
      </c>
      <c r="F39" s="186">
        <v>1.5299999999999999E-2</v>
      </c>
      <c r="G39" s="176">
        <v>1.5299999999999999E-2</v>
      </c>
      <c r="H39" s="186">
        <v>1.84E-2</v>
      </c>
      <c r="I39" s="186">
        <v>1.8100000000000002E-2</v>
      </c>
      <c r="J39" s="176">
        <v>2.1499999999999998E-2</v>
      </c>
      <c r="K39" s="186">
        <v>2.3800000000000002E-2</v>
      </c>
      <c r="L39" s="72">
        <v>2.35E-2</v>
      </c>
      <c r="N39" s="65"/>
      <c r="O39" s="65"/>
      <c r="P39" s="65"/>
      <c r="Q39" s="65"/>
      <c r="R39" s="65"/>
      <c r="S39" s="65"/>
    </row>
    <row r="40" spans="2:19" x14ac:dyDescent="0.2">
      <c r="C40" s="85">
        <v>0.06</v>
      </c>
      <c r="D40" s="73">
        <v>1.5299999999999999E-2</v>
      </c>
      <c r="E40" s="187">
        <v>1.9599999999999999E-2</v>
      </c>
      <c r="F40" s="187">
        <v>1.9199999999999998E-2</v>
      </c>
      <c r="G40" s="180">
        <v>1.9199999999999998E-2</v>
      </c>
      <c r="H40" s="187">
        <v>2.29E-2</v>
      </c>
      <c r="I40" s="187">
        <v>2.2599999999999999E-2</v>
      </c>
      <c r="J40" s="180">
        <v>2.69E-2</v>
      </c>
      <c r="K40" s="187">
        <v>2.9700000000000001E-2</v>
      </c>
      <c r="L40" s="74">
        <v>2.9399999999999999E-2</v>
      </c>
      <c r="N40" s="65"/>
      <c r="O40" s="65"/>
      <c r="P40" s="65"/>
      <c r="Q40" s="65"/>
      <c r="R40" s="65"/>
      <c r="S40" s="65"/>
    </row>
    <row r="42" spans="2:19" ht="15" customHeight="1" x14ac:dyDescent="0.2">
      <c r="C42" s="236" t="s">
        <v>125</v>
      </c>
      <c r="D42" s="236"/>
      <c r="E42" s="236"/>
      <c r="F42" s="236"/>
      <c r="G42" s="236"/>
      <c r="H42" s="236"/>
      <c r="I42" s="236"/>
      <c r="J42" s="236"/>
      <c r="K42" s="236"/>
      <c r="L42" s="236"/>
    </row>
    <row r="43" spans="2:19" x14ac:dyDescent="0.2">
      <c r="C43" s="236"/>
      <c r="D43" s="236"/>
      <c r="E43" s="236"/>
      <c r="F43" s="236"/>
      <c r="G43" s="236"/>
      <c r="H43" s="236"/>
      <c r="I43" s="236"/>
      <c r="J43" s="236"/>
      <c r="K43" s="236"/>
      <c r="L43" s="236"/>
    </row>
    <row r="44" spans="2:19" ht="15" customHeight="1" x14ac:dyDescent="0.2">
      <c r="C44" s="151" t="s">
        <v>51</v>
      </c>
      <c r="D44" s="237" t="s">
        <v>154</v>
      </c>
      <c r="E44" s="237"/>
      <c r="F44" s="238"/>
      <c r="G44" s="239" t="s">
        <v>155</v>
      </c>
      <c r="H44" s="237"/>
      <c r="I44" s="238"/>
      <c r="J44" s="239" t="s">
        <v>157</v>
      </c>
      <c r="K44" s="237"/>
      <c r="L44" s="238"/>
      <c r="N44" s="96" t="s">
        <v>118</v>
      </c>
    </row>
    <row r="45" spans="2:19" hidden="1" x14ac:dyDescent="0.2">
      <c r="C45" s="7" t="s">
        <v>51</v>
      </c>
      <c r="D45" s="90" t="s">
        <v>80</v>
      </c>
      <c r="E45" s="91" t="s">
        <v>81</v>
      </c>
      <c r="F45" s="92" t="s">
        <v>82</v>
      </c>
      <c r="G45" s="90" t="s">
        <v>80</v>
      </c>
      <c r="H45" s="91" t="s">
        <v>81</v>
      </c>
      <c r="I45" s="92" t="s">
        <v>82</v>
      </c>
      <c r="J45" s="90" t="s">
        <v>80</v>
      </c>
      <c r="K45" s="91" t="s">
        <v>81</v>
      </c>
      <c r="L45" s="92" t="s">
        <v>82</v>
      </c>
    </row>
    <row r="46" spans="2:19" x14ac:dyDescent="0.2">
      <c r="B46" s="67" t="s">
        <v>96</v>
      </c>
      <c r="C46" s="7" t="s">
        <v>160</v>
      </c>
      <c r="D46" s="76">
        <v>1.2430120647094796</v>
      </c>
      <c r="E46" s="188">
        <v>1.2787093147907544</v>
      </c>
      <c r="F46" s="189">
        <v>1.3268907631852409</v>
      </c>
      <c r="G46" s="190">
        <v>1.2935463164872414</v>
      </c>
      <c r="H46" s="188">
        <v>1.3216467975120647</v>
      </c>
      <c r="I46" s="189">
        <v>1.3786886468626351</v>
      </c>
      <c r="J46" s="190">
        <v>1.3990057209110678</v>
      </c>
      <c r="K46" s="188">
        <v>1.4183648402700504</v>
      </c>
      <c r="L46" s="77">
        <v>1.3268907631852409</v>
      </c>
      <c r="R46" s="234" t="s">
        <v>205</v>
      </c>
    </row>
    <row r="47" spans="2:19" x14ac:dyDescent="0.2">
      <c r="B47" s="68">
        <v>0.06</v>
      </c>
      <c r="C47" s="7" t="s">
        <v>161</v>
      </c>
      <c r="D47" s="76">
        <v>1.1444715181813172</v>
      </c>
      <c r="E47" s="188">
        <v>0.91114023818597956</v>
      </c>
      <c r="F47" s="189">
        <v>1.2026099594335677</v>
      </c>
      <c r="G47" s="190">
        <v>1.1589441920377936</v>
      </c>
      <c r="H47" s="188">
        <v>0.97968069417040127</v>
      </c>
      <c r="I47" s="189">
        <v>1.2182824603649351</v>
      </c>
      <c r="J47" s="190">
        <v>1.1761992447939915</v>
      </c>
      <c r="K47" s="188">
        <v>1.1486589659646673</v>
      </c>
      <c r="L47" s="77">
        <v>1.2026099594335677</v>
      </c>
    </row>
    <row r="48" spans="2:19" x14ac:dyDescent="0.2">
      <c r="B48" s="67" t="s">
        <v>16</v>
      </c>
      <c r="C48" s="147" t="s">
        <v>162</v>
      </c>
      <c r="D48" s="79">
        <v>1.0957047566732601</v>
      </c>
      <c r="E48" s="191">
        <v>0.75363121937193822</v>
      </c>
      <c r="F48" s="192">
        <v>0.99020761098510701</v>
      </c>
      <c r="G48" s="193">
        <v>1.1209807213651912</v>
      </c>
      <c r="H48" s="191">
        <v>0.78646339116717423</v>
      </c>
      <c r="I48" s="192">
        <v>1.0499636422050447</v>
      </c>
      <c r="J48" s="193">
        <v>1.1503463737196848</v>
      </c>
      <c r="K48" s="191">
        <v>0.86872851986855448</v>
      </c>
      <c r="L48" s="80">
        <v>0.99020761098510701</v>
      </c>
    </row>
    <row r="49" spans="2:18" x14ac:dyDescent="0.2">
      <c r="B49" s="68">
        <v>0.03</v>
      </c>
    </row>
    <row r="51" spans="2:18" ht="15" customHeight="1" x14ac:dyDescent="0.2">
      <c r="C51" s="236" t="s">
        <v>128</v>
      </c>
      <c r="D51" s="236"/>
      <c r="E51" s="236"/>
      <c r="F51" s="236"/>
      <c r="G51" s="236"/>
      <c r="H51" s="236"/>
      <c r="I51" s="236"/>
      <c r="J51" s="236"/>
      <c r="K51" s="236"/>
      <c r="L51" s="236"/>
    </row>
    <row r="52" spans="2:18" x14ac:dyDescent="0.2">
      <c r="C52" s="236"/>
      <c r="D52" s="236"/>
      <c r="E52" s="236"/>
      <c r="F52" s="236"/>
      <c r="G52" s="236"/>
      <c r="H52" s="236"/>
      <c r="I52" s="236"/>
      <c r="J52" s="236"/>
      <c r="K52" s="236"/>
      <c r="L52" s="236"/>
    </row>
    <row r="53" spans="2:18" ht="15" customHeight="1" x14ac:dyDescent="0.2">
      <c r="C53" s="106" t="s">
        <v>84</v>
      </c>
      <c r="D53" s="237" t="s">
        <v>154</v>
      </c>
      <c r="E53" s="237"/>
      <c r="F53" s="238"/>
      <c r="G53" s="239" t="s">
        <v>155</v>
      </c>
      <c r="H53" s="237"/>
      <c r="I53" s="238"/>
      <c r="J53" s="239" t="s">
        <v>157</v>
      </c>
      <c r="K53" s="237"/>
      <c r="L53" s="238"/>
    </row>
    <row r="54" spans="2:18" hidden="1" x14ac:dyDescent="0.2">
      <c r="C54" s="7" t="s">
        <v>84</v>
      </c>
      <c r="D54" s="90" t="s">
        <v>80</v>
      </c>
      <c r="E54" s="91" t="s">
        <v>81</v>
      </c>
      <c r="F54" s="92" t="s">
        <v>82</v>
      </c>
      <c r="G54" s="90" t="s">
        <v>80</v>
      </c>
      <c r="H54" s="91" t="s">
        <v>81</v>
      </c>
      <c r="I54" s="92" t="s">
        <v>82</v>
      </c>
      <c r="J54" s="90" t="s">
        <v>80</v>
      </c>
      <c r="K54" s="91" t="s">
        <v>81</v>
      </c>
      <c r="L54" s="92" t="s">
        <v>82</v>
      </c>
    </row>
    <row r="55" spans="2:18" x14ac:dyDescent="0.2">
      <c r="B55" s="67" t="s">
        <v>96</v>
      </c>
      <c r="C55" s="7" t="s">
        <v>160</v>
      </c>
      <c r="D55" s="76" t="s">
        <v>106</v>
      </c>
      <c r="E55" s="188" t="s">
        <v>97</v>
      </c>
      <c r="F55" s="189" t="s">
        <v>100</v>
      </c>
      <c r="G55" s="190" t="s">
        <v>106</v>
      </c>
      <c r="H55" s="188" t="s">
        <v>88</v>
      </c>
      <c r="I55" s="189" t="s">
        <v>91</v>
      </c>
      <c r="J55" s="190" t="s">
        <v>85</v>
      </c>
      <c r="K55" s="188" t="s">
        <v>94</v>
      </c>
      <c r="L55" s="77" t="s">
        <v>91</v>
      </c>
      <c r="R55" s="234" t="s">
        <v>205</v>
      </c>
    </row>
    <row r="56" spans="2:18" x14ac:dyDescent="0.2">
      <c r="B56" s="68">
        <v>0.06</v>
      </c>
      <c r="C56" s="7" t="s">
        <v>161</v>
      </c>
      <c r="D56" s="76" t="s">
        <v>107</v>
      </c>
      <c r="E56" s="188" t="s">
        <v>98</v>
      </c>
      <c r="F56" s="189" t="s">
        <v>101</v>
      </c>
      <c r="G56" s="190" t="s">
        <v>115</v>
      </c>
      <c r="H56" s="188" t="s">
        <v>89</v>
      </c>
      <c r="I56" s="189" t="s">
        <v>92</v>
      </c>
      <c r="J56" s="190" t="s">
        <v>86</v>
      </c>
      <c r="K56" s="188" t="s">
        <v>95</v>
      </c>
      <c r="L56" s="77" t="s">
        <v>92</v>
      </c>
    </row>
    <row r="57" spans="2:18" x14ac:dyDescent="0.2">
      <c r="B57" s="67" t="s">
        <v>16</v>
      </c>
      <c r="C57" s="147" t="s">
        <v>162</v>
      </c>
      <c r="D57" s="78" t="s">
        <v>108</v>
      </c>
      <c r="E57" s="191" t="s">
        <v>99</v>
      </c>
      <c r="F57" s="192" t="s">
        <v>102</v>
      </c>
      <c r="G57" s="193" t="s">
        <v>108</v>
      </c>
      <c r="H57" s="191" t="s">
        <v>90</v>
      </c>
      <c r="I57" s="192" t="s">
        <v>93</v>
      </c>
      <c r="J57" s="193" t="s">
        <v>87</v>
      </c>
      <c r="K57" s="191" t="s">
        <v>103</v>
      </c>
      <c r="L57" s="80" t="s">
        <v>93</v>
      </c>
    </row>
    <row r="58" spans="2:18" x14ac:dyDescent="0.2">
      <c r="B58" s="68">
        <v>0.03</v>
      </c>
    </row>
    <row r="60" spans="2:18" x14ac:dyDescent="0.2">
      <c r="C60" s="236" t="s">
        <v>126</v>
      </c>
      <c r="D60" s="236"/>
      <c r="E60" s="236"/>
      <c r="F60" s="236"/>
      <c r="G60" s="236"/>
      <c r="H60" s="236"/>
      <c r="I60" s="236"/>
      <c r="J60" s="236"/>
      <c r="K60" s="236"/>
      <c r="L60" s="236"/>
    </row>
    <row r="61" spans="2:18" x14ac:dyDescent="0.2">
      <c r="C61" s="236"/>
      <c r="D61" s="236"/>
      <c r="E61" s="236"/>
      <c r="F61" s="236"/>
      <c r="G61" s="236"/>
      <c r="H61" s="236"/>
      <c r="I61" s="236"/>
      <c r="J61" s="236"/>
      <c r="K61" s="236"/>
      <c r="L61" s="236"/>
    </row>
    <row r="62" spans="2:18" ht="15" customHeight="1" x14ac:dyDescent="0.2">
      <c r="C62" s="66"/>
      <c r="D62" s="237" t="s">
        <v>154</v>
      </c>
      <c r="E62" s="237"/>
      <c r="F62" s="238"/>
      <c r="G62" s="239" t="s">
        <v>155</v>
      </c>
      <c r="H62" s="237"/>
      <c r="I62" s="238"/>
      <c r="J62" s="239" t="s">
        <v>157</v>
      </c>
      <c r="K62" s="237"/>
      <c r="L62" s="238"/>
      <c r="N62" s="96" t="s">
        <v>119</v>
      </c>
    </row>
    <row r="63" spans="2:18" hidden="1" x14ac:dyDescent="0.2">
      <c r="C63" s="7"/>
      <c r="D63" s="90" t="s">
        <v>80</v>
      </c>
      <c r="E63" s="91" t="s">
        <v>81</v>
      </c>
      <c r="F63" s="92" t="s">
        <v>82</v>
      </c>
      <c r="G63" s="90" t="s">
        <v>80</v>
      </c>
      <c r="H63" s="91" t="s">
        <v>81</v>
      </c>
      <c r="I63" s="92" t="s">
        <v>82</v>
      </c>
      <c r="J63" s="90" t="s">
        <v>80</v>
      </c>
      <c r="K63" s="91" t="s">
        <v>81</v>
      </c>
      <c r="L63" s="92" t="s">
        <v>82</v>
      </c>
    </row>
    <row r="64" spans="2:18" ht="29" customHeight="1" x14ac:dyDescent="0.2">
      <c r="B64" s="67" t="s">
        <v>96</v>
      </c>
      <c r="C64" s="95" t="s">
        <v>120</v>
      </c>
      <c r="D64" s="97">
        <v>11</v>
      </c>
      <c r="E64" s="194">
        <v>12</v>
      </c>
      <c r="F64" s="195">
        <v>11</v>
      </c>
      <c r="G64" s="196">
        <v>10</v>
      </c>
      <c r="H64" s="194">
        <v>12</v>
      </c>
      <c r="I64" s="195">
        <v>11</v>
      </c>
      <c r="J64" s="196">
        <v>8</v>
      </c>
      <c r="K64" s="194">
        <v>11</v>
      </c>
      <c r="L64" s="98">
        <v>11</v>
      </c>
      <c r="R64" s="234" t="s">
        <v>205</v>
      </c>
    </row>
    <row r="65" spans="2:15" ht="44" customHeight="1" x14ac:dyDescent="0.2">
      <c r="B65" s="68">
        <v>0.09</v>
      </c>
      <c r="C65" s="95" t="s">
        <v>123</v>
      </c>
      <c r="D65" s="99">
        <v>0.19</v>
      </c>
      <c r="E65" s="197">
        <v>0.11</v>
      </c>
      <c r="F65" s="198">
        <v>0.17</v>
      </c>
      <c r="G65" s="199">
        <v>0.22</v>
      </c>
      <c r="H65" s="197">
        <v>0.11</v>
      </c>
      <c r="I65" s="198">
        <v>0.17</v>
      </c>
      <c r="J65" s="199">
        <v>0.28999999999999998</v>
      </c>
      <c r="K65" s="197">
        <v>0.16</v>
      </c>
      <c r="L65" s="101">
        <v>0.17</v>
      </c>
    </row>
    <row r="66" spans="2:15" ht="29" customHeight="1" x14ac:dyDescent="0.2">
      <c r="B66" s="67" t="s">
        <v>16</v>
      </c>
      <c r="C66" s="95" t="s">
        <v>104</v>
      </c>
      <c r="D66" s="102">
        <v>14</v>
      </c>
      <c r="E66" s="200">
        <v>14</v>
      </c>
      <c r="F66" s="201">
        <v>15</v>
      </c>
      <c r="G66" s="202">
        <v>14</v>
      </c>
      <c r="H66" s="200">
        <v>14</v>
      </c>
      <c r="I66" s="201">
        <v>15</v>
      </c>
      <c r="J66" s="202">
        <v>15</v>
      </c>
      <c r="K66" s="200">
        <v>14</v>
      </c>
      <c r="L66" s="103">
        <v>15</v>
      </c>
    </row>
    <row r="67" spans="2:15" x14ac:dyDescent="0.2">
      <c r="B67" s="68">
        <v>0.03</v>
      </c>
    </row>
    <row r="73" spans="2:15" x14ac:dyDescent="0.2">
      <c r="O73" t="s">
        <v>158</v>
      </c>
    </row>
    <row r="74" spans="2:15" x14ac:dyDescent="0.2">
      <c r="O74" t="s">
        <v>159</v>
      </c>
    </row>
  </sheetData>
  <mergeCells count="31">
    <mergeCell ref="N11:P12"/>
    <mergeCell ref="C5:L6"/>
    <mergeCell ref="C42:L43"/>
    <mergeCell ref="D44:F44"/>
    <mergeCell ref="D13:F13"/>
    <mergeCell ref="D7:F7"/>
    <mergeCell ref="G7:I7"/>
    <mergeCell ref="J7:L7"/>
    <mergeCell ref="D24:F24"/>
    <mergeCell ref="G24:I24"/>
    <mergeCell ref="J24:L24"/>
    <mergeCell ref="C22:L23"/>
    <mergeCell ref="G13:I13"/>
    <mergeCell ref="J13:L13"/>
    <mergeCell ref="C11:L12"/>
    <mergeCell ref="W11:Z12"/>
    <mergeCell ref="R11:U12"/>
    <mergeCell ref="C60:L61"/>
    <mergeCell ref="D62:F62"/>
    <mergeCell ref="G62:I62"/>
    <mergeCell ref="J62:L62"/>
    <mergeCell ref="C32:L33"/>
    <mergeCell ref="D34:F34"/>
    <mergeCell ref="G34:I34"/>
    <mergeCell ref="J34:L34"/>
    <mergeCell ref="G44:I44"/>
    <mergeCell ref="J44:L44"/>
    <mergeCell ref="C51:L52"/>
    <mergeCell ref="D53:F53"/>
    <mergeCell ref="G53:I53"/>
    <mergeCell ref="J53:L53"/>
  </mergeCells>
  <phoneticPr fontId="7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3246D-1F0E-174F-B895-68FE89DF674B}">
  <dimension ref="A1:CD142"/>
  <sheetViews>
    <sheetView tabSelected="1" workbookViewId="0">
      <selection activeCell="E3" sqref="E3"/>
    </sheetView>
  </sheetViews>
  <sheetFormatPr baseColWidth="10" defaultRowHeight="15" x14ac:dyDescent="0.2"/>
  <cols>
    <col min="2" max="2" width="35.6640625" customWidth="1"/>
    <col min="3" max="4" width="13.6640625" bestFit="1" customWidth="1"/>
    <col min="22" max="22" width="34.33203125" customWidth="1"/>
    <col min="23" max="24" width="13.6640625" bestFit="1" customWidth="1"/>
    <col min="43" max="43" width="34.83203125" customWidth="1"/>
    <col min="44" max="45" width="13.6640625" bestFit="1" customWidth="1"/>
    <col min="64" max="64" width="34.1640625" customWidth="1"/>
    <col min="65" max="66" width="13.6640625" bestFit="1" customWidth="1"/>
  </cols>
  <sheetData>
    <row r="1" spans="1:82" x14ac:dyDescent="0.2">
      <c r="A1" s="260"/>
      <c r="B1" s="260"/>
      <c r="C1" s="260"/>
      <c r="D1" s="260"/>
      <c r="E1" s="261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</row>
    <row r="2" spans="1:82" x14ac:dyDescent="0.2">
      <c r="A2" s="260"/>
      <c r="B2" s="1213" t="s">
        <v>230</v>
      </c>
      <c r="C2" s="1213"/>
      <c r="D2" s="260"/>
      <c r="E2" s="261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60"/>
      <c r="CC2" s="260"/>
      <c r="CD2" s="260"/>
    </row>
    <row r="3" spans="1:82" x14ac:dyDescent="0.2">
      <c r="A3" s="260"/>
      <c r="B3" s="1213" t="s">
        <v>229</v>
      </c>
      <c r="C3" s="1213"/>
      <c r="D3" s="260"/>
      <c r="E3" s="261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</row>
    <row r="4" spans="1:82" x14ac:dyDescent="0.2">
      <c r="A4" s="260"/>
      <c r="B4" s="260"/>
      <c r="C4" s="260"/>
      <c r="D4" s="260"/>
      <c r="E4" s="261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</row>
    <row r="5" spans="1:82" ht="21" x14ac:dyDescent="0.25">
      <c r="A5" s="260"/>
      <c r="B5" s="52" t="s">
        <v>227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260"/>
      <c r="V5" s="105" t="s">
        <v>226</v>
      </c>
      <c r="W5" s="105"/>
      <c r="X5" s="105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0"/>
      <c r="AP5" s="260"/>
      <c r="AQ5" s="105" t="s">
        <v>225</v>
      </c>
      <c r="AR5" s="105"/>
      <c r="AS5" s="105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  <c r="BG5" s="262"/>
      <c r="BH5" s="262"/>
      <c r="BI5" s="262"/>
      <c r="BJ5" s="260"/>
      <c r="BK5" s="260"/>
      <c r="BL5" s="105" t="s">
        <v>224</v>
      </c>
      <c r="BM5" s="105"/>
      <c r="BN5" s="105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62"/>
      <c r="CA5" s="262"/>
      <c r="CB5" s="262"/>
      <c r="CC5" s="262"/>
      <c r="CD5" s="262"/>
    </row>
    <row r="6" spans="1:82" x14ac:dyDescent="0.2">
      <c r="A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0"/>
      <c r="AR6" s="260"/>
      <c r="AS6" s="260"/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0"/>
      <c r="BE6" s="260"/>
      <c r="BF6" s="260"/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0"/>
      <c r="BR6" s="260"/>
      <c r="BS6" s="260"/>
      <c r="BT6" s="260"/>
      <c r="BU6" s="260"/>
      <c r="BV6" s="260"/>
      <c r="BW6" s="260"/>
      <c r="BX6" s="260"/>
      <c r="BY6" s="260"/>
      <c r="BZ6" s="260"/>
      <c r="CA6" s="260"/>
      <c r="CB6" s="260"/>
      <c r="CC6" s="260"/>
      <c r="CD6" s="260"/>
    </row>
    <row r="7" spans="1:82" ht="19" x14ac:dyDescent="0.25">
      <c r="A7" s="260"/>
      <c r="B7" s="12" t="s">
        <v>66</v>
      </c>
      <c r="U7" s="260"/>
      <c r="V7" s="263" t="s">
        <v>66</v>
      </c>
      <c r="W7" s="263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0"/>
      <c r="AL7" s="260"/>
      <c r="AM7" s="260"/>
      <c r="AN7" s="260"/>
      <c r="AO7" s="260"/>
      <c r="AP7" s="260"/>
      <c r="AQ7" s="263" t="s">
        <v>66</v>
      </c>
      <c r="AR7" s="263"/>
      <c r="AS7" s="260"/>
      <c r="AT7" s="260"/>
      <c r="AU7" s="260"/>
      <c r="AV7" s="260"/>
      <c r="AW7" s="260"/>
      <c r="AX7" s="260"/>
      <c r="AY7" s="260"/>
      <c r="AZ7" s="260"/>
      <c r="BA7" s="260"/>
      <c r="BB7" s="260"/>
      <c r="BC7" s="260"/>
      <c r="BD7" s="260"/>
      <c r="BE7" s="260"/>
      <c r="BF7" s="260"/>
      <c r="BG7" s="260"/>
      <c r="BH7" s="260"/>
      <c r="BI7" s="260"/>
      <c r="BJ7" s="260"/>
      <c r="BK7" s="260"/>
      <c r="BL7" s="263" t="s">
        <v>66</v>
      </c>
      <c r="BM7" s="263"/>
      <c r="BN7" s="260"/>
      <c r="BO7" s="260"/>
      <c r="BP7" s="260"/>
      <c r="BQ7" s="260"/>
      <c r="BR7" s="260"/>
      <c r="BS7" s="260"/>
      <c r="BT7" s="260"/>
      <c r="BU7" s="260"/>
      <c r="BV7" s="260"/>
      <c r="BW7" s="260"/>
      <c r="BX7" s="260"/>
      <c r="BY7" s="260"/>
      <c r="BZ7" s="260"/>
      <c r="CA7" s="260"/>
      <c r="CB7" s="260"/>
      <c r="CC7" s="260"/>
      <c r="CD7" s="260"/>
    </row>
    <row r="8" spans="1:82" ht="32" x14ac:dyDescent="0.2">
      <c r="A8" s="260"/>
      <c r="B8" s="22" t="s">
        <v>12</v>
      </c>
      <c r="C8" s="13" t="s">
        <v>15</v>
      </c>
      <c r="D8" s="13" t="s">
        <v>13</v>
      </c>
      <c r="E8" s="13" t="s">
        <v>37</v>
      </c>
      <c r="F8" s="13" t="s">
        <v>35</v>
      </c>
      <c r="G8" s="13" t="s">
        <v>36</v>
      </c>
      <c r="H8" s="13" t="s">
        <v>38</v>
      </c>
      <c r="I8" s="13" t="s">
        <v>39</v>
      </c>
      <c r="J8" s="13" t="s">
        <v>40</v>
      </c>
      <c r="K8" s="13" t="s">
        <v>41</v>
      </c>
      <c r="L8" s="13" t="s">
        <v>42</v>
      </c>
      <c r="M8" s="13" t="s">
        <v>43</v>
      </c>
      <c r="N8" s="13" t="s">
        <v>44</v>
      </c>
      <c r="O8" s="13" t="s">
        <v>45</v>
      </c>
      <c r="P8" s="13" t="s">
        <v>46</v>
      </c>
      <c r="Q8" s="54" t="s">
        <v>47</v>
      </c>
      <c r="R8" s="54" t="s">
        <v>75</v>
      </c>
      <c r="S8" s="54" t="s">
        <v>76</v>
      </c>
      <c r="T8" s="55" t="s">
        <v>77</v>
      </c>
      <c r="U8" s="268"/>
      <c r="V8" s="264" t="s">
        <v>12</v>
      </c>
      <c r="W8" s="265" t="s">
        <v>15</v>
      </c>
      <c r="X8" s="265" t="s">
        <v>13</v>
      </c>
      <c r="Y8" s="265" t="s">
        <v>37</v>
      </c>
      <c r="Z8" s="265" t="s">
        <v>35</v>
      </c>
      <c r="AA8" s="265" t="s">
        <v>36</v>
      </c>
      <c r="AB8" s="265" t="s">
        <v>38</v>
      </c>
      <c r="AC8" s="265" t="s">
        <v>39</v>
      </c>
      <c r="AD8" s="265" t="s">
        <v>40</v>
      </c>
      <c r="AE8" s="265" t="s">
        <v>41</v>
      </c>
      <c r="AF8" s="265" t="s">
        <v>42</v>
      </c>
      <c r="AG8" s="265" t="s">
        <v>43</v>
      </c>
      <c r="AH8" s="265" t="s">
        <v>44</v>
      </c>
      <c r="AI8" s="265" t="s">
        <v>45</v>
      </c>
      <c r="AJ8" s="265" t="s">
        <v>46</v>
      </c>
      <c r="AK8" s="266" t="s">
        <v>47</v>
      </c>
      <c r="AL8" s="266" t="s">
        <v>75</v>
      </c>
      <c r="AM8" s="266" t="s">
        <v>76</v>
      </c>
      <c r="AN8" s="267" t="s">
        <v>77</v>
      </c>
      <c r="AO8" s="260"/>
      <c r="AP8" s="260"/>
      <c r="AQ8" s="264" t="s">
        <v>12</v>
      </c>
      <c r="AR8" s="265" t="s">
        <v>15</v>
      </c>
      <c r="AS8" s="265" t="s">
        <v>13</v>
      </c>
      <c r="AT8" s="265" t="s">
        <v>37</v>
      </c>
      <c r="AU8" s="265" t="s">
        <v>35</v>
      </c>
      <c r="AV8" s="265" t="s">
        <v>36</v>
      </c>
      <c r="AW8" s="265" t="s">
        <v>38</v>
      </c>
      <c r="AX8" s="265" t="s">
        <v>39</v>
      </c>
      <c r="AY8" s="265" t="s">
        <v>40</v>
      </c>
      <c r="AZ8" s="265" t="s">
        <v>41</v>
      </c>
      <c r="BA8" s="265" t="s">
        <v>42</v>
      </c>
      <c r="BB8" s="265" t="s">
        <v>43</v>
      </c>
      <c r="BC8" s="265" t="s">
        <v>44</v>
      </c>
      <c r="BD8" s="265" t="s">
        <v>45</v>
      </c>
      <c r="BE8" s="265" t="s">
        <v>46</v>
      </c>
      <c r="BF8" s="266" t="s">
        <v>47</v>
      </c>
      <c r="BG8" s="266" t="s">
        <v>75</v>
      </c>
      <c r="BH8" s="266" t="s">
        <v>76</v>
      </c>
      <c r="BI8" s="267" t="s">
        <v>77</v>
      </c>
      <c r="BJ8" s="260"/>
      <c r="BK8" s="260"/>
      <c r="BL8" s="264" t="s">
        <v>12</v>
      </c>
      <c r="BM8" s="265" t="s">
        <v>15</v>
      </c>
      <c r="BN8" s="265" t="s">
        <v>13</v>
      </c>
      <c r="BO8" s="265" t="s">
        <v>37</v>
      </c>
      <c r="BP8" s="265" t="s">
        <v>35</v>
      </c>
      <c r="BQ8" s="265" t="s">
        <v>36</v>
      </c>
      <c r="BR8" s="265" t="s">
        <v>38</v>
      </c>
      <c r="BS8" s="265" t="s">
        <v>39</v>
      </c>
      <c r="BT8" s="265" t="s">
        <v>40</v>
      </c>
      <c r="BU8" s="265" t="s">
        <v>41</v>
      </c>
      <c r="BV8" s="265" t="s">
        <v>42</v>
      </c>
      <c r="BW8" s="265" t="s">
        <v>43</v>
      </c>
      <c r="BX8" s="265" t="s">
        <v>44</v>
      </c>
      <c r="BY8" s="265" t="s">
        <v>45</v>
      </c>
      <c r="BZ8" s="265" t="s">
        <v>46</v>
      </c>
      <c r="CA8" s="266" t="s">
        <v>47</v>
      </c>
      <c r="CB8" s="266" t="s">
        <v>75</v>
      </c>
      <c r="CC8" s="266" t="s">
        <v>76</v>
      </c>
      <c r="CD8" s="267" t="s">
        <v>77</v>
      </c>
    </row>
    <row r="9" spans="1:82" x14ac:dyDescent="0.2">
      <c r="A9" s="260"/>
      <c r="B9" s="14" t="s">
        <v>0</v>
      </c>
      <c r="C9" s="2">
        <v>74061017.606188729</v>
      </c>
      <c r="D9" s="2">
        <v>20012870.843441181</v>
      </c>
      <c r="E9" s="24">
        <v>0.33730453415034878</v>
      </c>
      <c r="F9" s="24">
        <v>0.27829378744307659</v>
      </c>
      <c r="G9" s="24">
        <v>0.22012247570103796</v>
      </c>
      <c r="H9" s="24">
        <v>0.16420399731395086</v>
      </c>
      <c r="I9" s="24">
        <v>0.11237862481960599</v>
      </c>
      <c r="J9" s="24">
        <v>6.6988563393309636E-2</v>
      </c>
      <c r="K9" s="24">
        <v>3.0895512043361679E-2</v>
      </c>
      <c r="L9" s="24">
        <v>7.268229107356753E-3</v>
      </c>
      <c r="M9" s="24">
        <v>0</v>
      </c>
      <c r="N9" s="24">
        <v>0</v>
      </c>
      <c r="O9" s="24">
        <v>0</v>
      </c>
      <c r="P9" s="24" t="e">
        <v>#DIV/0!</v>
      </c>
      <c r="Q9" s="56" t="e">
        <v>#DIV/0!</v>
      </c>
      <c r="R9" s="56" t="e">
        <v>#DIV/0!</v>
      </c>
      <c r="S9" s="56" t="e">
        <v>#DIV/0!</v>
      </c>
      <c r="T9" s="60" t="e">
        <v>#DIV/0!</v>
      </c>
      <c r="U9" s="283"/>
      <c r="V9" s="269" t="s">
        <v>0</v>
      </c>
      <c r="W9" s="270">
        <v>74061018</v>
      </c>
      <c r="X9" s="270">
        <v>20012871</v>
      </c>
      <c r="Y9" s="271">
        <v>0.34</v>
      </c>
      <c r="Z9" s="272">
        <v>0.28000000000000003</v>
      </c>
      <c r="AA9" s="273">
        <v>0.22</v>
      </c>
      <c r="AB9" s="274">
        <v>0.16</v>
      </c>
      <c r="AC9" s="275">
        <v>0.11</v>
      </c>
      <c r="AD9" s="276">
        <v>7.0000000000000007E-2</v>
      </c>
      <c r="AE9" s="277">
        <v>0.03</v>
      </c>
      <c r="AF9" s="278">
        <v>0.01</v>
      </c>
      <c r="AG9" s="279">
        <v>0</v>
      </c>
      <c r="AH9" s="279">
        <v>0</v>
      </c>
      <c r="AI9" s="280">
        <v>0</v>
      </c>
      <c r="AJ9" s="280">
        <v>0</v>
      </c>
      <c r="AK9" s="281" t="e">
        <v>#DIV/0!</v>
      </c>
      <c r="AL9" s="281" t="e">
        <v>#DIV/0!</v>
      </c>
      <c r="AM9" s="281" t="e">
        <v>#DIV/0!</v>
      </c>
      <c r="AN9" s="282" t="e">
        <v>#DIV/0!</v>
      </c>
      <c r="AO9" s="260"/>
      <c r="AP9" s="260"/>
      <c r="AQ9" s="269" t="s">
        <v>0</v>
      </c>
      <c r="AR9" s="270">
        <v>74061018</v>
      </c>
      <c r="AS9" s="270">
        <v>20012871</v>
      </c>
      <c r="AT9" s="271">
        <v>0.34</v>
      </c>
      <c r="AU9" s="272">
        <v>0.28000000000000003</v>
      </c>
      <c r="AV9" s="273">
        <v>0.22</v>
      </c>
      <c r="AW9" s="274">
        <v>0.16</v>
      </c>
      <c r="AX9" s="284">
        <v>0.11</v>
      </c>
      <c r="AY9" s="285">
        <v>7.0000000000000007E-2</v>
      </c>
      <c r="AZ9" s="286">
        <v>0.03</v>
      </c>
      <c r="BA9" s="287">
        <v>0.01</v>
      </c>
      <c r="BB9" s="288">
        <v>0</v>
      </c>
      <c r="BC9" s="279">
        <v>0</v>
      </c>
      <c r="BD9" s="280">
        <v>0</v>
      </c>
      <c r="BE9" s="280">
        <v>0</v>
      </c>
      <c r="BF9" s="281" t="e">
        <v>#DIV/0!</v>
      </c>
      <c r="BG9" s="281" t="e">
        <v>#DIV/0!</v>
      </c>
      <c r="BH9" s="281" t="e">
        <v>#DIV/0!</v>
      </c>
      <c r="BI9" s="282" t="e">
        <v>#DIV/0!</v>
      </c>
      <c r="BJ9" s="260"/>
      <c r="BK9" s="260"/>
      <c r="BL9" s="269" t="s">
        <v>0</v>
      </c>
      <c r="BM9" s="270">
        <v>74061018</v>
      </c>
      <c r="BN9" s="270">
        <v>20012871</v>
      </c>
      <c r="BO9" s="289">
        <v>0.34</v>
      </c>
      <c r="BP9" s="290">
        <v>0.28000000000000003</v>
      </c>
      <c r="BQ9" s="291">
        <v>0.22</v>
      </c>
      <c r="BR9" s="292">
        <v>0.16</v>
      </c>
      <c r="BS9" s="274">
        <v>0.11</v>
      </c>
      <c r="BT9" s="293">
        <v>7.0000000000000007E-2</v>
      </c>
      <c r="BU9" s="294">
        <v>0.04</v>
      </c>
      <c r="BV9" s="295">
        <v>0.01</v>
      </c>
      <c r="BW9" s="278">
        <v>0.01</v>
      </c>
      <c r="BX9" s="296">
        <v>0</v>
      </c>
      <c r="BY9" s="280">
        <v>0</v>
      </c>
      <c r="BZ9" s="297">
        <v>0</v>
      </c>
      <c r="CA9" s="298">
        <v>0</v>
      </c>
      <c r="CB9" s="298">
        <v>0</v>
      </c>
      <c r="CC9" s="298">
        <v>0</v>
      </c>
      <c r="CD9" s="299">
        <v>0</v>
      </c>
    </row>
    <row r="10" spans="1:82" x14ac:dyDescent="0.2">
      <c r="A10" s="260"/>
      <c r="B10" s="14" t="s">
        <v>1</v>
      </c>
      <c r="C10" s="2">
        <v>164966421.92469403</v>
      </c>
      <c r="D10" s="2">
        <v>66753996.300633356</v>
      </c>
      <c r="E10" s="24">
        <v>0.40625719918484365</v>
      </c>
      <c r="F10" s="24">
        <v>0.36538089917305033</v>
      </c>
      <c r="G10" s="24">
        <v>0.32162998320545444</v>
      </c>
      <c r="H10" s="24">
        <v>0.27504321352963956</v>
      </c>
      <c r="I10" s="24">
        <v>0.22581883322215712</v>
      </c>
      <c r="J10" s="24">
        <v>0.17444067868774846</v>
      </c>
      <c r="K10" s="24">
        <v>0.12192575564849492</v>
      </c>
      <c r="L10" s="24">
        <v>7.0357159028477056E-2</v>
      </c>
      <c r="M10" s="24">
        <v>2.4194949254444299E-2</v>
      </c>
      <c r="N10" s="24">
        <v>0</v>
      </c>
      <c r="O10" s="24">
        <v>0</v>
      </c>
      <c r="P10" s="24" t="e">
        <v>#DIV/0!</v>
      </c>
      <c r="Q10" s="24" t="e">
        <v>#DIV/0!</v>
      </c>
      <c r="R10" s="24" t="e">
        <v>#DIV/0!</v>
      </c>
      <c r="S10" s="24" t="e">
        <v>#DIV/0!</v>
      </c>
      <c r="T10" s="61" t="e">
        <v>#DIV/0!</v>
      </c>
      <c r="U10" s="283"/>
      <c r="V10" s="269" t="s">
        <v>1</v>
      </c>
      <c r="W10" s="270">
        <v>164966422</v>
      </c>
      <c r="X10" s="270">
        <v>66753996</v>
      </c>
      <c r="Y10" s="300">
        <v>0.41</v>
      </c>
      <c r="Z10" s="289">
        <v>0.36</v>
      </c>
      <c r="AA10" s="301">
        <v>0.32</v>
      </c>
      <c r="AB10" s="302">
        <v>0.27</v>
      </c>
      <c r="AC10" s="273">
        <v>0.22</v>
      </c>
      <c r="AD10" s="303">
        <v>0.17</v>
      </c>
      <c r="AE10" s="304">
        <v>0.12</v>
      </c>
      <c r="AF10" s="305">
        <v>7.0000000000000007E-2</v>
      </c>
      <c r="AG10" s="306">
        <v>0.02</v>
      </c>
      <c r="AH10" s="280">
        <v>0</v>
      </c>
      <c r="AI10" s="307">
        <v>0</v>
      </c>
      <c r="AJ10" s="280">
        <v>0</v>
      </c>
      <c r="AK10" s="283" t="e">
        <v>#DIV/0!</v>
      </c>
      <c r="AL10" s="283" t="e">
        <v>#DIV/0!</v>
      </c>
      <c r="AM10" s="283" t="e">
        <v>#DIV/0!</v>
      </c>
      <c r="AN10" s="308" t="e">
        <v>#DIV/0!</v>
      </c>
      <c r="AO10" s="260"/>
      <c r="AP10" s="260"/>
      <c r="AQ10" s="269" t="s">
        <v>1</v>
      </c>
      <c r="AR10" s="270">
        <v>164966422</v>
      </c>
      <c r="AS10" s="270">
        <v>66753996</v>
      </c>
      <c r="AT10" s="300">
        <v>0.41</v>
      </c>
      <c r="AU10" s="289">
        <v>0.36</v>
      </c>
      <c r="AV10" s="309">
        <v>0.32</v>
      </c>
      <c r="AW10" s="302">
        <v>0.27</v>
      </c>
      <c r="AX10" s="273">
        <v>0.22</v>
      </c>
      <c r="AY10" s="303">
        <v>0.17</v>
      </c>
      <c r="AZ10" s="310">
        <v>0.12</v>
      </c>
      <c r="BA10" s="311">
        <v>7.0000000000000007E-2</v>
      </c>
      <c r="BB10" s="306">
        <v>0.02</v>
      </c>
      <c r="BC10" s="280">
        <v>0</v>
      </c>
      <c r="BD10" s="312">
        <v>0</v>
      </c>
      <c r="BE10" s="280">
        <v>0</v>
      </c>
      <c r="BF10" s="283" t="e">
        <v>#DIV/0!</v>
      </c>
      <c r="BG10" s="283" t="e">
        <v>#DIV/0!</v>
      </c>
      <c r="BH10" s="283" t="e">
        <v>#DIV/0!</v>
      </c>
      <c r="BI10" s="308" t="e">
        <v>#DIV/0!</v>
      </c>
      <c r="BJ10" s="260"/>
      <c r="BK10" s="260"/>
      <c r="BL10" s="269" t="s">
        <v>1</v>
      </c>
      <c r="BM10" s="270">
        <v>164966422</v>
      </c>
      <c r="BN10" s="270">
        <v>66753996</v>
      </c>
      <c r="BO10" s="313">
        <v>0.41</v>
      </c>
      <c r="BP10" s="314">
        <v>0.36</v>
      </c>
      <c r="BQ10" s="315">
        <v>0.32</v>
      </c>
      <c r="BR10" s="316">
        <v>0.27</v>
      </c>
      <c r="BS10" s="291">
        <v>0.22</v>
      </c>
      <c r="BT10" s="317">
        <v>0.16</v>
      </c>
      <c r="BU10" s="274">
        <v>0.11</v>
      </c>
      <c r="BV10" s="304">
        <v>0.06</v>
      </c>
      <c r="BW10" s="318">
        <v>0.02</v>
      </c>
      <c r="BX10" s="280">
        <v>0</v>
      </c>
      <c r="BY10" s="319">
        <v>0.01</v>
      </c>
      <c r="BZ10" s="280">
        <v>0</v>
      </c>
      <c r="CA10" s="280">
        <v>0</v>
      </c>
      <c r="CB10" s="280">
        <v>0</v>
      </c>
      <c r="CC10" s="280">
        <v>0</v>
      </c>
      <c r="CD10" s="320">
        <v>0</v>
      </c>
    </row>
    <row r="11" spans="1:82" x14ac:dyDescent="0.2">
      <c r="A11" s="260"/>
      <c r="B11" s="14" t="s">
        <v>2</v>
      </c>
      <c r="C11" s="2">
        <v>111850437.83915582</v>
      </c>
      <c r="D11" s="2">
        <v>59635517.784009442</v>
      </c>
      <c r="E11" s="24">
        <v>0.56529432312085603</v>
      </c>
      <c r="F11" s="24">
        <v>0.49174019567687932</v>
      </c>
      <c r="G11" s="24">
        <v>0.41543386131113758</v>
      </c>
      <c r="H11" s="24">
        <v>0.33725793318503061</v>
      </c>
      <c r="I11" s="24">
        <v>0.25860931652134694</v>
      </c>
      <c r="J11" s="24">
        <v>0.18166774780243444</v>
      </c>
      <c r="K11" s="24">
        <v>0.10983601205877723</v>
      </c>
      <c r="L11" s="24">
        <v>4.848167954766279E-2</v>
      </c>
      <c r="M11" s="24">
        <v>6.1629250851813972E-3</v>
      </c>
      <c r="N11" s="24">
        <v>0</v>
      </c>
      <c r="O11" s="24">
        <v>0</v>
      </c>
      <c r="P11" s="24" t="e">
        <v>#DIV/0!</v>
      </c>
      <c r="Q11" s="24" t="e">
        <v>#DIV/0!</v>
      </c>
      <c r="R11" s="24" t="e">
        <v>#DIV/0!</v>
      </c>
      <c r="S11" s="24" t="e">
        <v>#DIV/0!</v>
      </c>
      <c r="T11" s="61" t="e">
        <v>#DIV/0!</v>
      </c>
      <c r="U11" s="283"/>
      <c r="V11" s="269" t="s">
        <v>2</v>
      </c>
      <c r="W11" s="270">
        <v>111850438</v>
      </c>
      <c r="X11" s="270">
        <v>59635518</v>
      </c>
      <c r="Y11" s="321">
        <v>0.56999999999999995</v>
      </c>
      <c r="Z11" s="322">
        <v>0.49</v>
      </c>
      <c r="AA11" s="300">
        <v>0.41</v>
      </c>
      <c r="AB11" s="323">
        <v>0.33</v>
      </c>
      <c r="AC11" s="324">
        <v>0.25</v>
      </c>
      <c r="AD11" s="303">
        <v>0.17</v>
      </c>
      <c r="AE11" s="325">
        <v>0.1</v>
      </c>
      <c r="AF11" s="326">
        <v>0.04</v>
      </c>
      <c r="AG11" s="327">
        <v>0.01</v>
      </c>
      <c r="AH11" s="280">
        <v>0</v>
      </c>
      <c r="AI11" s="328">
        <v>0.01</v>
      </c>
      <c r="AJ11" s="280">
        <v>0</v>
      </c>
      <c r="AK11" s="283" t="e">
        <v>#DIV/0!</v>
      </c>
      <c r="AL11" s="283" t="e">
        <v>#DIV/0!</v>
      </c>
      <c r="AM11" s="283" t="e">
        <v>#DIV/0!</v>
      </c>
      <c r="AN11" s="308" t="e">
        <v>#DIV/0!</v>
      </c>
      <c r="AO11" s="260"/>
      <c r="AP11" s="260"/>
      <c r="AQ11" s="269" t="s">
        <v>2</v>
      </c>
      <c r="AR11" s="270">
        <v>111850438</v>
      </c>
      <c r="AS11" s="270">
        <v>59635518</v>
      </c>
      <c r="AT11" s="321">
        <v>0.56999999999999995</v>
      </c>
      <c r="AU11" s="322">
        <v>0.49</v>
      </c>
      <c r="AV11" s="300">
        <v>0.4</v>
      </c>
      <c r="AW11" s="323">
        <v>0.32</v>
      </c>
      <c r="AX11" s="329">
        <v>0.24</v>
      </c>
      <c r="AY11" s="303">
        <v>0.17</v>
      </c>
      <c r="AZ11" s="330">
        <v>0.1</v>
      </c>
      <c r="BA11" s="331">
        <v>0.04</v>
      </c>
      <c r="BB11" s="332">
        <v>0.01</v>
      </c>
      <c r="BC11" s="333">
        <v>0</v>
      </c>
      <c r="BD11" s="288">
        <v>0</v>
      </c>
      <c r="BE11" s="280">
        <v>0</v>
      </c>
      <c r="BF11" s="283" t="e">
        <v>#DIV/0!</v>
      </c>
      <c r="BG11" s="283" t="e">
        <v>#DIV/0!</v>
      </c>
      <c r="BH11" s="283" t="e">
        <v>#DIV/0!</v>
      </c>
      <c r="BI11" s="308" t="e">
        <v>#DIV/0!</v>
      </c>
      <c r="BJ11" s="260"/>
      <c r="BK11" s="260"/>
      <c r="BL11" s="269" t="s">
        <v>2</v>
      </c>
      <c r="BM11" s="270">
        <v>111850438</v>
      </c>
      <c r="BN11" s="270">
        <v>59635518</v>
      </c>
      <c r="BO11" s="334">
        <v>0.56999999999999995</v>
      </c>
      <c r="BP11" s="335">
        <v>0.48</v>
      </c>
      <c r="BQ11" s="336">
        <v>0.4</v>
      </c>
      <c r="BR11" s="315">
        <v>0.32</v>
      </c>
      <c r="BS11" s="337">
        <v>0.24</v>
      </c>
      <c r="BT11" s="292">
        <v>0.16</v>
      </c>
      <c r="BU11" s="338">
        <v>0.09</v>
      </c>
      <c r="BV11" s="339">
        <v>0.04</v>
      </c>
      <c r="BW11" s="340">
        <v>0.01</v>
      </c>
      <c r="BX11" s="328">
        <v>0</v>
      </c>
      <c r="BY11" s="280">
        <v>0</v>
      </c>
      <c r="BZ11" s="340">
        <v>0.01</v>
      </c>
      <c r="CA11" s="280">
        <v>0</v>
      </c>
      <c r="CB11" s="280">
        <v>0</v>
      </c>
      <c r="CC11" s="280">
        <v>0</v>
      </c>
      <c r="CD11" s="320">
        <v>0</v>
      </c>
    </row>
    <row r="12" spans="1:82" x14ac:dyDescent="0.2">
      <c r="A12" s="260"/>
      <c r="B12" s="14" t="s">
        <v>3</v>
      </c>
      <c r="C12" s="2">
        <v>477796928.12292886</v>
      </c>
      <c r="D12" s="2">
        <v>234399775.04964375</v>
      </c>
      <c r="E12" s="24">
        <v>0.45431180000906651</v>
      </c>
      <c r="F12" s="24">
        <v>0.42793849608558876</v>
      </c>
      <c r="G12" s="24">
        <v>0.39857766004929973</v>
      </c>
      <c r="H12" s="24">
        <v>0.36576688900347559</v>
      </c>
      <c r="I12" s="24">
        <v>0.32892710165382932</v>
      </c>
      <c r="J12" s="24">
        <v>0.28731341521231657</v>
      </c>
      <c r="K12" s="24">
        <v>0.23993487217755513</v>
      </c>
      <c r="L12" s="24">
        <v>0.18541666225116221</v>
      </c>
      <c r="M12" s="24">
        <v>0.12175708354237422</v>
      </c>
      <c r="N12" s="24">
        <v>4.6109567083100933E-2</v>
      </c>
      <c r="O12" s="24">
        <v>0</v>
      </c>
      <c r="P12" s="24" t="e">
        <v>#DIV/0!</v>
      </c>
      <c r="Q12" s="24" t="e">
        <v>#DIV/0!</v>
      </c>
      <c r="R12" s="24" t="e">
        <v>#DIV/0!</v>
      </c>
      <c r="S12" s="24" t="e">
        <v>#DIV/0!</v>
      </c>
      <c r="T12" s="61" t="e">
        <v>#DIV/0!</v>
      </c>
      <c r="U12" s="283"/>
      <c r="V12" s="269" t="s">
        <v>3</v>
      </c>
      <c r="W12" s="270">
        <v>477796928</v>
      </c>
      <c r="X12" s="270">
        <v>234399775</v>
      </c>
      <c r="Y12" s="341">
        <v>0.45</v>
      </c>
      <c r="Z12" s="313">
        <v>0.43</v>
      </c>
      <c r="AA12" s="342">
        <v>0.4</v>
      </c>
      <c r="AB12" s="289">
        <v>0.36</v>
      </c>
      <c r="AC12" s="323">
        <v>0.32</v>
      </c>
      <c r="AD12" s="343">
        <v>0.28000000000000003</v>
      </c>
      <c r="AE12" s="344">
        <v>0.23</v>
      </c>
      <c r="AF12" s="345">
        <v>0.18</v>
      </c>
      <c r="AG12" s="310">
        <v>0.11</v>
      </c>
      <c r="AH12" s="346">
        <v>0.04</v>
      </c>
      <c r="AI12" s="280">
        <v>0</v>
      </c>
      <c r="AJ12" s="280">
        <v>0</v>
      </c>
      <c r="AK12" s="283" t="e">
        <v>#DIV/0!</v>
      </c>
      <c r="AL12" s="283" t="e">
        <v>#DIV/0!</v>
      </c>
      <c r="AM12" s="283" t="e">
        <v>#DIV/0!</v>
      </c>
      <c r="AN12" s="308" t="e">
        <v>#DIV/0!</v>
      </c>
      <c r="AO12" s="260"/>
      <c r="AP12" s="260"/>
      <c r="AQ12" s="269" t="s">
        <v>3</v>
      </c>
      <c r="AR12" s="270">
        <v>477796928</v>
      </c>
      <c r="AS12" s="270">
        <v>234399775</v>
      </c>
      <c r="AT12" s="341">
        <v>0.45</v>
      </c>
      <c r="AU12" s="313">
        <v>0.43</v>
      </c>
      <c r="AV12" s="342">
        <v>0.4</v>
      </c>
      <c r="AW12" s="289">
        <v>0.36</v>
      </c>
      <c r="AX12" s="323">
        <v>0.32</v>
      </c>
      <c r="AY12" s="343">
        <v>0.28000000000000003</v>
      </c>
      <c r="AZ12" s="347">
        <v>0.23</v>
      </c>
      <c r="BA12" s="345">
        <v>0.18</v>
      </c>
      <c r="BB12" s="310">
        <v>0.11</v>
      </c>
      <c r="BC12" s="348">
        <v>0.04</v>
      </c>
      <c r="BD12" s="280">
        <v>0</v>
      </c>
      <c r="BE12" s="280">
        <v>0</v>
      </c>
      <c r="BF12" s="283" t="e">
        <v>#DIV/0!</v>
      </c>
      <c r="BG12" s="283" t="e">
        <v>#DIV/0!</v>
      </c>
      <c r="BH12" s="283" t="e">
        <v>#DIV/0!</v>
      </c>
      <c r="BI12" s="308" t="e">
        <v>#DIV/0!</v>
      </c>
      <c r="BJ12" s="260"/>
      <c r="BK12" s="260"/>
      <c r="BL12" s="269" t="s">
        <v>3</v>
      </c>
      <c r="BM12" s="270">
        <v>477796928</v>
      </c>
      <c r="BN12" s="270">
        <v>234399775</v>
      </c>
      <c r="BO12" s="349">
        <v>0.45</v>
      </c>
      <c r="BP12" s="350">
        <v>0.43</v>
      </c>
      <c r="BQ12" s="351">
        <v>0.39</v>
      </c>
      <c r="BR12" s="314">
        <v>0.36</v>
      </c>
      <c r="BS12" s="352">
        <v>0.32</v>
      </c>
      <c r="BT12" s="290">
        <v>0.28000000000000003</v>
      </c>
      <c r="BU12" s="353">
        <v>0.23</v>
      </c>
      <c r="BV12" s="354">
        <v>0.17</v>
      </c>
      <c r="BW12" s="355">
        <v>0.11</v>
      </c>
      <c r="BX12" s="356">
        <v>0.04</v>
      </c>
      <c r="BY12" s="280">
        <v>0</v>
      </c>
      <c r="BZ12" s="280">
        <v>0</v>
      </c>
      <c r="CA12" s="280">
        <v>0</v>
      </c>
      <c r="CB12" s="280">
        <v>0</v>
      </c>
      <c r="CC12" s="312">
        <v>0</v>
      </c>
      <c r="CD12" s="320">
        <v>0</v>
      </c>
    </row>
    <row r="13" spans="1:82" x14ac:dyDescent="0.2">
      <c r="A13" s="260"/>
      <c r="B13" s="14" t="s">
        <v>4</v>
      </c>
      <c r="C13" s="2">
        <v>164227660.88237971</v>
      </c>
      <c r="D13" s="2">
        <v>96491379.044015497</v>
      </c>
      <c r="E13" s="24">
        <v>0.61785650633229827</v>
      </c>
      <c r="F13" s="24">
        <v>0.55662228981515638</v>
      </c>
      <c r="G13" s="24">
        <v>0.49098117360532001</v>
      </c>
      <c r="H13" s="24">
        <v>0.42095312000785534</v>
      </c>
      <c r="I13" s="24">
        <v>0.34678327723498042</v>
      </c>
      <c r="J13" s="24">
        <v>0.26912536661891617</v>
      </c>
      <c r="K13" s="24">
        <v>0.18940504978046882</v>
      </c>
      <c r="L13" s="24">
        <v>0.11061054113556161</v>
      </c>
      <c r="M13" s="24">
        <v>3.926431913537843E-2</v>
      </c>
      <c r="N13" s="24">
        <v>0</v>
      </c>
      <c r="O13" s="24">
        <v>0</v>
      </c>
      <c r="P13" s="24" t="e">
        <v>#DIV/0!</v>
      </c>
      <c r="Q13" s="24" t="e">
        <v>#DIV/0!</v>
      </c>
      <c r="R13" s="24" t="e">
        <v>#DIV/0!</v>
      </c>
      <c r="S13" s="24" t="e">
        <v>#DIV/0!</v>
      </c>
      <c r="T13" s="61" t="e">
        <v>#DIV/0!</v>
      </c>
      <c r="U13" s="283"/>
      <c r="V13" s="269" t="s">
        <v>4</v>
      </c>
      <c r="W13" s="270">
        <v>164227661</v>
      </c>
      <c r="X13" s="270">
        <v>96491379</v>
      </c>
      <c r="Y13" s="357">
        <v>0.62</v>
      </c>
      <c r="Z13" s="358">
        <v>0.55000000000000004</v>
      </c>
      <c r="AA13" s="359">
        <v>0.48</v>
      </c>
      <c r="AB13" s="360">
        <v>0.41</v>
      </c>
      <c r="AC13" s="271">
        <v>0.34</v>
      </c>
      <c r="AD13" s="361">
        <v>0.26</v>
      </c>
      <c r="AE13" s="345">
        <v>0.18</v>
      </c>
      <c r="AF13" s="362">
        <v>0.1</v>
      </c>
      <c r="AG13" s="363">
        <v>0.04</v>
      </c>
      <c r="AH13" s="280">
        <v>0</v>
      </c>
      <c r="AI13" s="280">
        <v>0</v>
      </c>
      <c r="AJ13" s="280">
        <v>0</v>
      </c>
      <c r="AK13" s="283" t="e">
        <v>#DIV/0!</v>
      </c>
      <c r="AL13" s="283" t="e">
        <v>#DIV/0!</v>
      </c>
      <c r="AM13" s="283" t="e">
        <v>#DIV/0!</v>
      </c>
      <c r="AN13" s="308" t="e">
        <v>#DIV/0!</v>
      </c>
      <c r="AO13" s="260"/>
      <c r="AP13" s="260"/>
      <c r="AQ13" s="269" t="s">
        <v>4</v>
      </c>
      <c r="AR13" s="270">
        <v>164227661</v>
      </c>
      <c r="AS13" s="270">
        <v>96491379</v>
      </c>
      <c r="AT13" s="357">
        <v>0.62</v>
      </c>
      <c r="AU13" s="358">
        <v>0.55000000000000004</v>
      </c>
      <c r="AV13" s="359">
        <v>0.48</v>
      </c>
      <c r="AW13" s="360">
        <v>0.41</v>
      </c>
      <c r="AX13" s="364">
        <v>0.33</v>
      </c>
      <c r="AY13" s="365">
        <v>0.25</v>
      </c>
      <c r="AZ13" s="345">
        <v>0.17</v>
      </c>
      <c r="BA13" s="366">
        <v>0.1</v>
      </c>
      <c r="BB13" s="286">
        <v>0.03</v>
      </c>
      <c r="BC13" s="280">
        <v>0</v>
      </c>
      <c r="BD13" s="288">
        <v>0</v>
      </c>
      <c r="BE13" s="280">
        <v>0</v>
      </c>
      <c r="BF13" s="283" t="e">
        <v>#DIV/0!</v>
      </c>
      <c r="BG13" s="283" t="e">
        <v>#DIV/0!</v>
      </c>
      <c r="BH13" s="283" t="e">
        <v>#DIV/0!</v>
      </c>
      <c r="BI13" s="308" t="e">
        <v>#DIV/0!</v>
      </c>
      <c r="BJ13" s="260"/>
      <c r="BK13" s="260"/>
      <c r="BL13" s="269" t="s">
        <v>4</v>
      </c>
      <c r="BM13" s="270">
        <v>164227661</v>
      </c>
      <c r="BN13" s="270">
        <v>96491379</v>
      </c>
      <c r="BO13" s="357">
        <v>0.62</v>
      </c>
      <c r="BP13" s="367">
        <v>0.55000000000000004</v>
      </c>
      <c r="BQ13" s="368">
        <v>0.48</v>
      </c>
      <c r="BR13" s="313">
        <v>0.4</v>
      </c>
      <c r="BS13" s="369">
        <v>0.33</v>
      </c>
      <c r="BT13" s="343">
        <v>0.25</v>
      </c>
      <c r="BU13" s="370">
        <v>0.17</v>
      </c>
      <c r="BV13" s="338">
        <v>0.09</v>
      </c>
      <c r="BW13" s="371">
        <v>0.03</v>
      </c>
      <c r="BX13" s="280">
        <v>0</v>
      </c>
      <c r="BY13" s="372">
        <v>0.01</v>
      </c>
      <c r="BZ13" s="280">
        <v>0</v>
      </c>
      <c r="CA13" s="280">
        <v>0</v>
      </c>
      <c r="CB13" s="280">
        <v>0</v>
      </c>
      <c r="CC13" s="280">
        <v>0</v>
      </c>
      <c r="CD13" s="320">
        <v>0</v>
      </c>
    </row>
    <row r="14" spans="1:82" x14ac:dyDescent="0.2">
      <c r="A14" s="260"/>
      <c r="B14" s="14" t="s">
        <v>5</v>
      </c>
      <c r="C14" s="2">
        <v>407962628.09385109</v>
      </c>
      <c r="D14" s="2">
        <v>187745917.65696079</v>
      </c>
      <c r="E14" s="24">
        <v>0.45945381240166444</v>
      </c>
      <c r="F14" s="24">
        <v>0.4309475834775901</v>
      </c>
      <c r="G14" s="24">
        <v>0.39931346749487667</v>
      </c>
      <c r="H14" s="24">
        <v>0.36410019144507777</v>
      </c>
      <c r="I14" s="24">
        <v>0.3247558477273772</v>
      </c>
      <c r="J14" s="24">
        <v>0.28059305825154779</v>
      </c>
      <c r="K14" s="24">
        <v>0.23073945168676535</v>
      </c>
      <c r="L14" s="24">
        <v>0.17407442176746502</v>
      </c>
      <c r="M14" s="24">
        <v>0.1092019276079412</v>
      </c>
      <c r="N14" s="24">
        <v>3.5086268504999296E-2</v>
      </c>
      <c r="O14" s="24">
        <v>0</v>
      </c>
      <c r="P14" s="24" t="e">
        <v>#DIV/0!</v>
      </c>
      <c r="Q14" s="24" t="e">
        <v>#DIV/0!</v>
      </c>
      <c r="R14" s="24" t="e">
        <v>#DIV/0!</v>
      </c>
      <c r="S14" s="24" t="e">
        <v>#DIV/0!</v>
      </c>
      <c r="T14" s="61" t="e">
        <v>#DIV/0!</v>
      </c>
      <c r="U14" s="283"/>
      <c r="V14" s="269" t="s">
        <v>5</v>
      </c>
      <c r="W14" s="270">
        <v>407962628</v>
      </c>
      <c r="X14" s="270">
        <v>187745918</v>
      </c>
      <c r="Y14" s="373">
        <v>0.46</v>
      </c>
      <c r="Z14" s="374">
        <v>0.43</v>
      </c>
      <c r="AA14" s="375">
        <v>0.4</v>
      </c>
      <c r="AB14" s="289">
        <v>0.36</v>
      </c>
      <c r="AC14" s="301">
        <v>0.32</v>
      </c>
      <c r="AD14" s="272">
        <v>0.28000000000000003</v>
      </c>
      <c r="AE14" s="376">
        <v>0.23</v>
      </c>
      <c r="AF14" s="303">
        <v>0.17</v>
      </c>
      <c r="AG14" s="377">
        <v>0.1</v>
      </c>
      <c r="AH14" s="378">
        <v>0.03</v>
      </c>
      <c r="AI14" s="280">
        <v>0</v>
      </c>
      <c r="AJ14" s="280">
        <v>0</v>
      </c>
      <c r="AK14" s="283" t="e">
        <v>#DIV/0!</v>
      </c>
      <c r="AL14" s="283" t="e">
        <v>#DIV/0!</v>
      </c>
      <c r="AM14" s="283" t="e">
        <v>#DIV/0!</v>
      </c>
      <c r="AN14" s="308" t="e">
        <v>#DIV/0!</v>
      </c>
      <c r="AO14" s="260"/>
      <c r="AP14" s="260"/>
      <c r="AQ14" s="269" t="s">
        <v>5</v>
      </c>
      <c r="AR14" s="270">
        <v>407962628</v>
      </c>
      <c r="AS14" s="270">
        <v>187745918</v>
      </c>
      <c r="AT14" s="373">
        <v>0.46</v>
      </c>
      <c r="AU14" s="374">
        <v>0.43</v>
      </c>
      <c r="AV14" s="375">
        <v>0.4</v>
      </c>
      <c r="AW14" s="289">
        <v>0.36</v>
      </c>
      <c r="AX14" s="301">
        <v>0.32</v>
      </c>
      <c r="AY14" s="379">
        <v>0.28000000000000003</v>
      </c>
      <c r="AZ14" s="380">
        <v>0.22</v>
      </c>
      <c r="BA14" s="303">
        <v>0.17</v>
      </c>
      <c r="BB14" s="381">
        <v>0.1</v>
      </c>
      <c r="BC14" s="382">
        <v>0.03</v>
      </c>
      <c r="BD14" s="280">
        <v>0</v>
      </c>
      <c r="BE14" s="280">
        <v>0</v>
      </c>
      <c r="BF14" s="283" t="e">
        <v>#DIV/0!</v>
      </c>
      <c r="BG14" s="283" t="e">
        <v>#DIV/0!</v>
      </c>
      <c r="BH14" s="283" t="e">
        <v>#DIV/0!</v>
      </c>
      <c r="BI14" s="308" t="e">
        <v>#DIV/0!</v>
      </c>
      <c r="BJ14" s="260"/>
      <c r="BK14" s="260"/>
      <c r="BL14" s="269" t="s">
        <v>5</v>
      </c>
      <c r="BM14" s="270">
        <v>407962628</v>
      </c>
      <c r="BN14" s="270">
        <v>187745918</v>
      </c>
      <c r="BO14" s="383">
        <v>0.46</v>
      </c>
      <c r="BP14" s="384">
        <v>0.43</v>
      </c>
      <c r="BQ14" s="351">
        <v>0.4</v>
      </c>
      <c r="BR14" s="314">
        <v>0.36</v>
      </c>
      <c r="BS14" s="352">
        <v>0.32</v>
      </c>
      <c r="BT14" s="385">
        <v>0.27</v>
      </c>
      <c r="BU14" s="386">
        <v>0.22</v>
      </c>
      <c r="BV14" s="317">
        <v>0.16</v>
      </c>
      <c r="BW14" s="387">
        <v>0.1</v>
      </c>
      <c r="BX14" s="388">
        <v>0.03</v>
      </c>
      <c r="BY14" s="280">
        <v>0</v>
      </c>
      <c r="BZ14" s="280">
        <v>0</v>
      </c>
      <c r="CA14" s="280">
        <v>0</v>
      </c>
      <c r="CB14" s="333">
        <v>0</v>
      </c>
      <c r="CC14" s="280">
        <v>0</v>
      </c>
      <c r="CD14" s="320">
        <v>0</v>
      </c>
    </row>
    <row r="15" spans="1:82" x14ac:dyDescent="0.2">
      <c r="A15" s="260"/>
      <c r="B15" s="14" t="s">
        <v>6</v>
      </c>
      <c r="C15" s="2">
        <v>295355339.6784091</v>
      </c>
      <c r="D15" s="2">
        <v>30753929.338460058</v>
      </c>
      <c r="E15" s="24">
        <v>9.6439037408370981E-2</v>
      </c>
      <c r="F15" s="24">
        <v>8.9485786573426568E-2</v>
      </c>
      <c r="G15" s="24">
        <v>8.1836035068294483E-2</v>
      </c>
      <c r="H15" s="24">
        <v>7.3410484491315028E-2</v>
      </c>
      <c r="I15" s="24">
        <v>6.4120688208958346E-2</v>
      </c>
      <c r="J15" s="24">
        <v>5.3870962723859293E-2</v>
      </c>
      <c r="K15" s="24">
        <v>4.2566845800328532E-2</v>
      </c>
      <c r="L15" s="24">
        <v>3.0144914752335179E-2</v>
      </c>
      <c r="M15" s="24">
        <v>1.6683223562288955E-2</v>
      </c>
      <c r="N15" s="24">
        <v>2.9481446439189331E-3</v>
      </c>
      <c r="O15" s="24">
        <v>0</v>
      </c>
      <c r="P15" s="24" t="e">
        <v>#DIV/0!</v>
      </c>
      <c r="Q15" s="24" t="e">
        <v>#DIV/0!</v>
      </c>
      <c r="R15" s="24" t="e">
        <v>#DIV/0!</v>
      </c>
      <c r="S15" s="24" t="e">
        <v>#DIV/0!</v>
      </c>
      <c r="T15" s="61" t="e">
        <v>#DIV/0!</v>
      </c>
      <c r="U15" s="283"/>
      <c r="V15" s="269" t="s">
        <v>6</v>
      </c>
      <c r="W15" s="270">
        <v>295355340</v>
      </c>
      <c r="X15" s="270">
        <v>30753929</v>
      </c>
      <c r="Y15" s="389">
        <v>0.1</v>
      </c>
      <c r="Z15" s="390">
        <v>0.09</v>
      </c>
      <c r="AA15" s="391">
        <v>0.09</v>
      </c>
      <c r="AB15" s="339">
        <v>0.08</v>
      </c>
      <c r="AC15" s="392">
        <v>7.0000000000000007E-2</v>
      </c>
      <c r="AD15" s="371">
        <v>0.06</v>
      </c>
      <c r="AE15" s="393">
        <v>0.05</v>
      </c>
      <c r="AF15" s="348">
        <v>0.04</v>
      </c>
      <c r="AG15" s="394">
        <v>0.02</v>
      </c>
      <c r="AH15" s="395">
        <v>0.01</v>
      </c>
      <c r="AI15" s="280">
        <v>0</v>
      </c>
      <c r="AJ15" s="280">
        <v>0</v>
      </c>
      <c r="AK15" s="283" t="e">
        <v>#DIV/0!</v>
      </c>
      <c r="AL15" s="283" t="e">
        <v>#DIV/0!</v>
      </c>
      <c r="AM15" s="283" t="e">
        <v>#DIV/0!</v>
      </c>
      <c r="AN15" s="308" t="e">
        <v>#DIV/0!</v>
      </c>
      <c r="AO15" s="260"/>
      <c r="AP15" s="260"/>
      <c r="AQ15" s="269" t="s">
        <v>6</v>
      </c>
      <c r="AR15" s="270">
        <v>295355340</v>
      </c>
      <c r="AS15" s="270">
        <v>30753929</v>
      </c>
      <c r="AT15" s="396">
        <v>0.1</v>
      </c>
      <c r="AU15" s="397">
        <v>0.09</v>
      </c>
      <c r="AV15" s="398">
        <v>0.09</v>
      </c>
      <c r="AW15" s="399">
        <v>0.08</v>
      </c>
      <c r="AX15" s="400">
        <v>0.08</v>
      </c>
      <c r="AY15" s="276">
        <v>7.0000000000000007E-2</v>
      </c>
      <c r="AZ15" s="401">
        <v>0.06</v>
      </c>
      <c r="BA15" s="331">
        <v>0.04</v>
      </c>
      <c r="BB15" s="402">
        <v>0.03</v>
      </c>
      <c r="BC15" s="327">
        <v>0.01</v>
      </c>
      <c r="BD15" s="280">
        <v>0</v>
      </c>
      <c r="BE15" s="280">
        <v>0</v>
      </c>
      <c r="BF15" s="283" t="e">
        <v>#DIV/0!</v>
      </c>
      <c r="BG15" s="283" t="e">
        <v>#DIV/0!</v>
      </c>
      <c r="BH15" s="283" t="e">
        <v>#DIV/0!</v>
      </c>
      <c r="BI15" s="308" t="e">
        <v>#DIV/0!</v>
      </c>
      <c r="BJ15" s="260"/>
      <c r="BK15" s="260"/>
      <c r="BL15" s="269" t="s">
        <v>6</v>
      </c>
      <c r="BM15" s="270">
        <v>295355340</v>
      </c>
      <c r="BN15" s="270">
        <v>30753929</v>
      </c>
      <c r="BO15" s="387">
        <v>0.1</v>
      </c>
      <c r="BP15" s="338">
        <v>0.09</v>
      </c>
      <c r="BQ15" s="338">
        <v>0.09</v>
      </c>
      <c r="BR15" s="403">
        <v>0.09</v>
      </c>
      <c r="BS15" s="404">
        <v>0.08</v>
      </c>
      <c r="BT15" s="405">
        <v>7.0000000000000007E-2</v>
      </c>
      <c r="BU15" s="304">
        <v>0.06</v>
      </c>
      <c r="BV15" s="406">
        <v>0.05</v>
      </c>
      <c r="BW15" s="407">
        <v>0.03</v>
      </c>
      <c r="BX15" s="408">
        <v>0.01</v>
      </c>
      <c r="BY15" s="280">
        <v>0</v>
      </c>
      <c r="BZ15" s="280">
        <v>0</v>
      </c>
      <c r="CA15" s="409">
        <v>0.01</v>
      </c>
      <c r="CB15" s="280">
        <v>0</v>
      </c>
      <c r="CC15" s="280">
        <v>0</v>
      </c>
      <c r="CD15" s="320">
        <v>0</v>
      </c>
    </row>
    <row r="16" spans="1:82" x14ac:dyDescent="0.2">
      <c r="A16" s="260"/>
      <c r="B16" s="14" t="s">
        <v>7</v>
      </c>
      <c r="C16" s="2">
        <v>328852284.24685562</v>
      </c>
      <c r="D16" s="2">
        <v>133280715.93843317</v>
      </c>
      <c r="E16" s="24">
        <v>0.3928156435014199</v>
      </c>
      <c r="F16" s="24">
        <v>0.36593960882703003</v>
      </c>
      <c r="G16" s="24">
        <v>0.33627509131502742</v>
      </c>
      <c r="H16" s="24">
        <v>0.30347168313695955</v>
      </c>
      <c r="I16" s="24">
        <v>0.26712216316143633</v>
      </c>
      <c r="J16" s="24">
        <v>0.22675581085230725</v>
      </c>
      <c r="K16" s="24">
        <v>0.18184380942501022</v>
      </c>
      <c r="L16" s="24">
        <v>0.13185579222534621</v>
      </c>
      <c r="M16" s="24">
        <v>7.6540015466829828E-2</v>
      </c>
      <c r="N16" s="24">
        <v>1.7576423280053564E-2</v>
      </c>
      <c r="O16" s="24">
        <v>0</v>
      </c>
      <c r="P16" s="24" t="e">
        <v>#DIV/0!</v>
      </c>
      <c r="Q16" s="24" t="e">
        <v>#DIV/0!</v>
      </c>
      <c r="R16" s="24" t="e">
        <v>#DIV/0!</v>
      </c>
      <c r="S16" s="24" t="e">
        <v>#DIV/0!</v>
      </c>
      <c r="T16" s="61" t="e">
        <v>#DIV/0!</v>
      </c>
      <c r="U16" s="283"/>
      <c r="V16" s="269" t="s">
        <v>7</v>
      </c>
      <c r="W16" s="270">
        <v>328852284</v>
      </c>
      <c r="X16" s="270">
        <v>133280716</v>
      </c>
      <c r="Y16" s="410">
        <v>0.39</v>
      </c>
      <c r="Z16" s="289">
        <v>0.37</v>
      </c>
      <c r="AA16" s="411">
        <v>0.33</v>
      </c>
      <c r="AB16" s="316">
        <v>0.3</v>
      </c>
      <c r="AC16" s="386">
        <v>0.26</v>
      </c>
      <c r="AD16" s="380">
        <v>0.22</v>
      </c>
      <c r="AE16" s="345">
        <v>0.18</v>
      </c>
      <c r="AF16" s="405">
        <v>0.13</v>
      </c>
      <c r="AG16" s="412">
        <v>7.0000000000000007E-2</v>
      </c>
      <c r="AH16" s="413">
        <v>0.02</v>
      </c>
      <c r="AI16" s="280">
        <v>0</v>
      </c>
      <c r="AJ16" s="280">
        <v>0</v>
      </c>
      <c r="AK16" s="283" t="e">
        <v>#DIV/0!</v>
      </c>
      <c r="AL16" s="283" t="e">
        <v>#DIV/0!</v>
      </c>
      <c r="AM16" s="283" t="e">
        <v>#DIV/0!</v>
      </c>
      <c r="AN16" s="308" t="e">
        <v>#DIV/0!</v>
      </c>
      <c r="AO16" s="260"/>
      <c r="AP16" s="260"/>
      <c r="AQ16" s="269" t="s">
        <v>7</v>
      </c>
      <c r="AR16" s="270">
        <v>328852284</v>
      </c>
      <c r="AS16" s="270">
        <v>133280716</v>
      </c>
      <c r="AT16" s="410">
        <v>0.39</v>
      </c>
      <c r="AU16" s="414">
        <v>0.36</v>
      </c>
      <c r="AV16" s="411">
        <v>0.33</v>
      </c>
      <c r="AW16" s="316">
        <v>0.3</v>
      </c>
      <c r="AX16" s="386">
        <v>0.26</v>
      </c>
      <c r="AY16" s="380">
        <v>0.22</v>
      </c>
      <c r="AZ16" s="345">
        <v>0.18</v>
      </c>
      <c r="BA16" s="405">
        <v>0.13</v>
      </c>
      <c r="BB16" s="356">
        <v>7.0000000000000007E-2</v>
      </c>
      <c r="BC16" s="409">
        <v>0.01</v>
      </c>
      <c r="BD16" s="280">
        <v>0</v>
      </c>
      <c r="BE16" s="280">
        <v>0</v>
      </c>
      <c r="BF16" s="283" t="e">
        <v>#DIV/0!</v>
      </c>
      <c r="BG16" s="283" t="e">
        <v>#DIV/0!</v>
      </c>
      <c r="BH16" s="283" t="e">
        <v>#DIV/0!</v>
      </c>
      <c r="BI16" s="308" t="e">
        <v>#DIV/0!</v>
      </c>
      <c r="BJ16" s="260"/>
      <c r="BK16" s="260"/>
      <c r="BL16" s="269" t="s">
        <v>7</v>
      </c>
      <c r="BM16" s="270">
        <v>328852284</v>
      </c>
      <c r="BN16" s="270">
        <v>133280716</v>
      </c>
      <c r="BO16" s="415">
        <v>0.39</v>
      </c>
      <c r="BP16" s="416">
        <v>0.36</v>
      </c>
      <c r="BQ16" s="417">
        <v>0.33</v>
      </c>
      <c r="BR16" s="418">
        <v>0.3</v>
      </c>
      <c r="BS16" s="419">
        <v>0.26</v>
      </c>
      <c r="BT16" s="361">
        <v>0.22</v>
      </c>
      <c r="BU16" s="354">
        <v>0.17</v>
      </c>
      <c r="BV16" s="420">
        <v>0.12</v>
      </c>
      <c r="BW16" s="293">
        <v>7.0000000000000007E-2</v>
      </c>
      <c r="BX16" s="421">
        <v>0.01</v>
      </c>
      <c r="BY16" s="280">
        <v>0</v>
      </c>
      <c r="BZ16" s="280">
        <v>0</v>
      </c>
      <c r="CA16" s="422">
        <v>0</v>
      </c>
      <c r="CB16" s="280">
        <v>0</v>
      </c>
      <c r="CC16" s="280">
        <v>0</v>
      </c>
      <c r="CD16" s="320">
        <v>0</v>
      </c>
    </row>
    <row r="17" spans="1:82" x14ac:dyDescent="0.2">
      <c r="A17" s="260"/>
      <c r="B17" s="14" t="s">
        <v>8</v>
      </c>
      <c r="C17" s="2">
        <v>910487338.83586597</v>
      </c>
      <c r="D17" s="2">
        <v>321724913.92231131</v>
      </c>
      <c r="E17" s="24">
        <v>0.38368679270848405</v>
      </c>
      <c r="F17" s="24">
        <v>0.36571787257083993</v>
      </c>
      <c r="G17" s="24">
        <v>0.34555450213343131</v>
      </c>
      <c r="H17" s="24">
        <v>0.32280323098523922</v>
      </c>
      <c r="I17" s="24">
        <v>0.29694823433914247</v>
      </c>
      <c r="J17" s="24">
        <v>0.26728556511235751</v>
      </c>
      <c r="K17" s="24">
        <v>0.23280073062528095</v>
      </c>
      <c r="L17" s="24">
        <v>0.19191319114161351</v>
      </c>
      <c r="M17" s="24">
        <v>0.14184408064372794</v>
      </c>
      <c r="N17" s="24">
        <v>7.6595937846251308E-2</v>
      </c>
      <c r="O17" s="24">
        <v>0</v>
      </c>
      <c r="P17" s="24" t="e">
        <v>#DIV/0!</v>
      </c>
      <c r="Q17" s="24" t="e">
        <v>#DIV/0!</v>
      </c>
      <c r="R17" s="24" t="e">
        <v>#DIV/0!</v>
      </c>
      <c r="S17" s="24" t="e">
        <v>#DIV/0!</v>
      </c>
      <c r="T17" s="61" t="e">
        <v>#DIV/0!</v>
      </c>
      <c r="U17" s="283"/>
      <c r="V17" s="269" t="s">
        <v>8</v>
      </c>
      <c r="W17" s="270">
        <v>910487339</v>
      </c>
      <c r="X17" s="270">
        <v>321724914</v>
      </c>
      <c r="Y17" s="423">
        <v>0.38</v>
      </c>
      <c r="Z17" s="414">
        <v>0.37</v>
      </c>
      <c r="AA17" s="352">
        <v>0.35</v>
      </c>
      <c r="AB17" s="323">
        <v>0.32</v>
      </c>
      <c r="AC17" s="419">
        <v>0.3</v>
      </c>
      <c r="AD17" s="302">
        <v>0.27</v>
      </c>
      <c r="AE17" s="344">
        <v>0.23</v>
      </c>
      <c r="AF17" s="424">
        <v>0.19</v>
      </c>
      <c r="AG17" s="403">
        <v>0.14000000000000001</v>
      </c>
      <c r="AH17" s="425">
        <v>7.0000000000000007E-2</v>
      </c>
      <c r="AI17" s="280">
        <v>0</v>
      </c>
      <c r="AJ17" s="280">
        <v>0</v>
      </c>
      <c r="AK17" s="283" t="e">
        <v>#DIV/0!</v>
      </c>
      <c r="AL17" s="283" t="e">
        <v>#DIV/0!</v>
      </c>
      <c r="AM17" s="283" t="e">
        <v>#DIV/0!</v>
      </c>
      <c r="AN17" s="308" t="e">
        <v>#DIV/0!</v>
      </c>
      <c r="AO17" s="260"/>
      <c r="AP17" s="260"/>
      <c r="AQ17" s="269" t="s">
        <v>8</v>
      </c>
      <c r="AR17" s="270">
        <v>910487339</v>
      </c>
      <c r="AS17" s="270">
        <v>321724914</v>
      </c>
      <c r="AT17" s="423">
        <v>0.38</v>
      </c>
      <c r="AU17" s="414">
        <v>0.37</v>
      </c>
      <c r="AV17" s="352">
        <v>0.35</v>
      </c>
      <c r="AW17" s="323">
        <v>0.32</v>
      </c>
      <c r="AX17" s="419">
        <v>0.3</v>
      </c>
      <c r="AY17" s="302">
        <v>0.27</v>
      </c>
      <c r="AZ17" s="426">
        <v>0.23</v>
      </c>
      <c r="BA17" s="424">
        <v>0.19</v>
      </c>
      <c r="BB17" s="403">
        <v>0.14000000000000001</v>
      </c>
      <c r="BC17" s="425">
        <v>7.0000000000000007E-2</v>
      </c>
      <c r="BD17" s="280">
        <v>0</v>
      </c>
      <c r="BE17" s="280">
        <v>0</v>
      </c>
      <c r="BF17" s="283" t="e">
        <v>#DIV/0!</v>
      </c>
      <c r="BG17" s="283" t="e">
        <v>#DIV/0!</v>
      </c>
      <c r="BH17" s="283" t="e">
        <v>#DIV/0!</v>
      </c>
      <c r="BI17" s="308" t="e">
        <v>#DIV/0!</v>
      </c>
      <c r="BJ17" s="260"/>
      <c r="BK17" s="260"/>
      <c r="BL17" s="269" t="s">
        <v>8</v>
      </c>
      <c r="BM17" s="270">
        <v>910487339</v>
      </c>
      <c r="BN17" s="270">
        <v>321724914</v>
      </c>
      <c r="BO17" s="300">
        <v>0.38</v>
      </c>
      <c r="BP17" s="416">
        <v>0.37</v>
      </c>
      <c r="BQ17" s="427">
        <v>0.35</v>
      </c>
      <c r="BR17" s="369">
        <v>0.32</v>
      </c>
      <c r="BS17" s="364">
        <v>0.3</v>
      </c>
      <c r="BT17" s="385">
        <v>0.27</v>
      </c>
      <c r="BU17" s="302">
        <v>0.23</v>
      </c>
      <c r="BV17" s="344">
        <v>0.19</v>
      </c>
      <c r="BW17" s="428">
        <v>0.14000000000000001</v>
      </c>
      <c r="BX17" s="405">
        <v>7.0000000000000007E-2</v>
      </c>
      <c r="BY17" s="280">
        <v>0</v>
      </c>
      <c r="BZ17" s="280">
        <v>0</v>
      </c>
      <c r="CA17" s="280">
        <v>0</v>
      </c>
      <c r="CB17" s="280">
        <v>0</v>
      </c>
      <c r="CC17" s="319">
        <v>0.01</v>
      </c>
      <c r="CD17" s="320">
        <v>0</v>
      </c>
    </row>
    <row r="18" spans="1:82" x14ac:dyDescent="0.2">
      <c r="A18" s="260"/>
      <c r="B18" s="14" t="s">
        <v>9</v>
      </c>
      <c r="C18" s="2">
        <v>92705416.600463837</v>
      </c>
      <c r="D18" s="2">
        <v>27802727.782648683</v>
      </c>
      <c r="E18" s="24">
        <v>0.30423810513849575</v>
      </c>
      <c r="F18" s="24">
        <v>0.25772030439669613</v>
      </c>
      <c r="G18" s="24">
        <v>0.21067521281526483</v>
      </c>
      <c r="H18" s="24">
        <v>0.16398001020457534</v>
      </c>
      <c r="I18" s="24">
        <v>0.11887192960390784</v>
      </c>
      <c r="J18" s="24">
        <v>7.707860563789308E-2</v>
      </c>
      <c r="K18" s="24">
        <v>4.0984848859932546E-2</v>
      </c>
      <c r="L18" s="24">
        <v>1.3797071014269786E-2</v>
      </c>
      <c r="M18" s="24">
        <v>0</v>
      </c>
      <c r="N18" s="24">
        <v>0</v>
      </c>
      <c r="O18" s="24">
        <v>0</v>
      </c>
      <c r="P18" s="24" t="e">
        <v>#DIV/0!</v>
      </c>
      <c r="Q18" s="24" t="e">
        <v>#DIV/0!</v>
      </c>
      <c r="R18" s="24" t="e">
        <v>#DIV/0!</v>
      </c>
      <c r="S18" s="24" t="e">
        <v>#DIV/0!</v>
      </c>
      <c r="T18" s="61" t="e">
        <v>#DIV/0!</v>
      </c>
      <c r="U18" s="283"/>
      <c r="V18" s="269" t="s">
        <v>9</v>
      </c>
      <c r="W18" s="270">
        <v>92705417</v>
      </c>
      <c r="X18" s="270">
        <v>27802728</v>
      </c>
      <c r="Y18" s="385">
        <v>0.3</v>
      </c>
      <c r="Z18" s="291">
        <v>0.26</v>
      </c>
      <c r="AA18" s="317">
        <v>0.21</v>
      </c>
      <c r="AB18" s="274">
        <v>0.16</v>
      </c>
      <c r="AC18" s="310">
        <v>0.11</v>
      </c>
      <c r="AD18" s="425">
        <v>7.0000000000000007E-2</v>
      </c>
      <c r="AE18" s="348">
        <v>0.04</v>
      </c>
      <c r="AF18" s="409">
        <v>0.01</v>
      </c>
      <c r="AG18" s="307">
        <v>0</v>
      </c>
      <c r="AH18" s="307">
        <v>0</v>
      </c>
      <c r="AI18" s="280">
        <v>0</v>
      </c>
      <c r="AJ18" s="280">
        <v>0</v>
      </c>
      <c r="AK18" s="283" t="e">
        <v>#DIV/0!</v>
      </c>
      <c r="AL18" s="283" t="e">
        <v>#DIV/0!</v>
      </c>
      <c r="AM18" s="283" t="e">
        <v>#DIV/0!</v>
      </c>
      <c r="AN18" s="308" t="e">
        <v>#DIV/0!</v>
      </c>
      <c r="AO18" s="260"/>
      <c r="AP18" s="260"/>
      <c r="AQ18" s="269" t="s">
        <v>9</v>
      </c>
      <c r="AR18" s="270">
        <v>92705417</v>
      </c>
      <c r="AS18" s="270">
        <v>27802728</v>
      </c>
      <c r="AT18" s="385">
        <v>0.3</v>
      </c>
      <c r="AU18" s="291">
        <v>0.26</v>
      </c>
      <c r="AV18" s="317">
        <v>0.21</v>
      </c>
      <c r="AW18" s="274">
        <v>0.16</v>
      </c>
      <c r="AX18" s="310">
        <v>0.11</v>
      </c>
      <c r="AY18" s="425">
        <v>7.0000000000000007E-2</v>
      </c>
      <c r="AZ18" s="348">
        <v>0.04</v>
      </c>
      <c r="BA18" s="413">
        <v>0.01</v>
      </c>
      <c r="BB18" s="422">
        <v>0</v>
      </c>
      <c r="BC18" s="307">
        <v>0</v>
      </c>
      <c r="BD18" s="280">
        <v>0</v>
      </c>
      <c r="BE18" s="280">
        <v>0</v>
      </c>
      <c r="BF18" s="283" t="e">
        <v>#DIV/0!</v>
      </c>
      <c r="BG18" s="283" t="e">
        <v>#DIV/0!</v>
      </c>
      <c r="BH18" s="283" t="e">
        <v>#DIV/0!</v>
      </c>
      <c r="BI18" s="308" t="e">
        <v>#DIV/0!</v>
      </c>
      <c r="BJ18" s="260"/>
      <c r="BK18" s="260"/>
      <c r="BL18" s="269" t="s">
        <v>9</v>
      </c>
      <c r="BM18" s="270">
        <v>92705417</v>
      </c>
      <c r="BN18" s="270">
        <v>27802728</v>
      </c>
      <c r="BO18" s="271">
        <v>0.3</v>
      </c>
      <c r="BP18" s="429">
        <v>0.25</v>
      </c>
      <c r="BQ18" s="324">
        <v>0.2</v>
      </c>
      <c r="BR18" s="430">
        <v>0.16</v>
      </c>
      <c r="BS18" s="274">
        <v>0.11</v>
      </c>
      <c r="BT18" s="405">
        <v>7.0000000000000007E-2</v>
      </c>
      <c r="BU18" s="400">
        <v>0.04</v>
      </c>
      <c r="BV18" s="378">
        <v>0.02</v>
      </c>
      <c r="BW18" s="431">
        <v>0</v>
      </c>
      <c r="BX18" s="296">
        <v>0</v>
      </c>
      <c r="BY18" s="280">
        <v>0</v>
      </c>
      <c r="BZ18" s="280">
        <v>0</v>
      </c>
      <c r="CA18" s="280">
        <v>0</v>
      </c>
      <c r="CB18" s="312">
        <v>0</v>
      </c>
      <c r="CC18" s="280">
        <v>0</v>
      </c>
      <c r="CD18" s="320">
        <v>0</v>
      </c>
    </row>
    <row r="19" spans="1:82" x14ac:dyDescent="0.2">
      <c r="A19" s="260"/>
      <c r="B19" s="14" t="s">
        <v>10</v>
      </c>
      <c r="C19" s="2">
        <v>1243404655.6066542</v>
      </c>
      <c r="D19" s="2">
        <v>110876434.4409368</v>
      </c>
      <c r="E19" s="24">
        <v>0.10694499207394834</v>
      </c>
      <c r="F19" s="24">
        <v>0.10225962482721769</v>
      </c>
      <c r="G19" s="24">
        <v>9.6992795228315012E-2</v>
      </c>
      <c r="H19" s="24">
        <v>9.1037257179126127E-2</v>
      </c>
      <c r="I19" s="24">
        <v>8.4251238679224363E-2</v>
      </c>
      <c r="J19" s="24">
        <v>7.6439258074305752E-2</v>
      </c>
      <c r="K19" s="24">
        <v>6.7315830817723535E-2</v>
      </c>
      <c r="L19" s="24">
        <v>5.6428131722187642E-2</v>
      </c>
      <c r="M19" s="24">
        <v>4.2959083724664782E-2</v>
      </c>
      <c r="N19" s="24">
        <v>2.5064016867333835E-2</v>
      </c>
      <c r="O19" s="24">
        <v>0</v>
      </c>
      <c r="P19" s="24" t="e">
        <v>#DIV/0!</v>
      </c>
      <c r="Q19" s="24" t="e">
        <v>#DIV/0!</v>
      </c>
      <c r="R19" s="24" t="e">
        <v>#DIV/0!</v>
      </c>
      <c r="S19" s="24" t="e">
        <v>#DIV/0!</v>
      </c>
      <c r="T19" s="61" t="e">
        <v>#DIV/0!</v>
      </c>
      <c r="U19" s="283"/>
      <c r="V19" s="269" t="s">
        <v>10</v>
      </c>
      <c r="W19" s="270">
        <v>1243404656</v>
      </c>
      <c r="X19" s="270">
        <v>110876434</v>
      </c>
      <c r="Y19" s="432">
        <v>0.11</v>
      </c>
      <c r="Z19" s="377">
        <v>0.1</v>
      </c>
      <c r="AA19" s="330">
        <v>0.1</v>
      </c>
      <c r="AB19" s="433">
        <v>0.09</v>
      </c>
      <c r="AC19" s="398">
        <v>0.09</v>
      </c>
      <c r="AD19" s="434">
        <v>0.08</v>
      </c>
      <c r="AE19" s="435">
        <v>7.0000000000000007E-2</v>
      </c>
      <c r="AF19" s="436">
        <v>0.06</v>
      </c>
      <c r="AG19" s="437">
        <v>0.05</v>
      </c>
      <c r="AH19" s="295">
        <v>0.03</v>
      </c>
      <c r="AI19" s="280">
        <v>0</v>
      </c>
      <c r="AJ19" s="280">
        <v>0</v>
      </c>
      <c r="AK19" s="283" t="e">
        <v>#DIV/0!</v>
      </c>
      <c r="AL19" s="283" t="e">
        <v>#DIV/0!</v>
      </c>
      <c r="AM19" s="283" t="e">
        <v>#DIV/0!</v>
      </c>
      <c r="AN19" s="308" t="e">
        <v>#DIV/0!</v>
      </c>
      <c r="AO19" s="260"/>
      <c r="AP19" s="260"/>
      <c r="AQ19" s="269" t="s">
        <v>10</v>
      </c>
      <c r="AR19" s="270">
        <v>1243404656</v>
      </c>
      <c r="AS19" s="270">
        <v>110876434</v>
      </c>
      <c r="AT19" s="438">
        <v>0.11</v>
      </c>
      <c r="AU19" s="439">
        <v>0.1</v>
      </c>
      <c r="AV19" s="362">
        <v>0.1</v>
      </c>
      <c r="AW19" s="396">
        <v>0.1</v>
      </c>
      <c r="AX19" s="440">
        <v>0.09</v>
      </c>
      <c r="AY19" s="441">
        <v>0.08</v>
      </c>
      <c r="AZ19" s="400">
        <v>0.08</v>
      </c>
      <c r="BA19" s="442">
        <v>0.06</v>
      </c>
      <c r="BB19" s="443">
        <v>0.05</v>
      </c>
      <c r="BC19" s="444">
        <v>0.03</v>
      </c>
      <c r="BD19" s="280">
        <v>0</v>
      </c>
      <c r="BE19" s="280">
        <v>0</v>
      </c>
      <c r="BF19" s="283" t="e">
        <v>#DIV/0!</v>
      </c>
      <c r="BG19" s="283" t="e">
        <v>#DIV/0!</v>
      </c>
      <c r="BH19" s="283" t="e">
        <v>#DIV/0!</v>
      </c>
      <c r="BI19" s="308" t="e">
        <v>#DIV/0!</v>
      </c>
      <c r="BJ19" s="260"/>
      <c r="BK19" s="260"/>
      <c r="BL19" s="269" t="s">
        <v>10</v>
      </c>
      <c r="BM19" s="270">
        <v>1243404656</v>
      </c>
      <c r="BN19" s="270">
        <v>110876434</v>
      </c>
      <c r="BO19" s="355">
        <v>0.11</v>
      </c>
      <c r="BP19" s="355">
        <v>0.11</v>
      </c>
      <c r="BQ19" s="445">
        <v>0.1</v>
      </c>
      <c r="BR19" s="387">
        <v>0.1</v>
      </c>
      <c r="BS19" s="338">
        <v>0.09</v>
      </c>
      <c r="BT19" s="446">
        <v>0.09</v>
      </c>
      <c r="BU19" s="447">
        <v>0.08</v>
      </c>
      <c r="BV19" s="293">
        <v>7.0000000000000007E-2</v>
      </c>
      <c r="BW19" s="448">
        <v>0.05</v>
      </c>
      <c r="BX19" s="449">
        <v>0.03</v>
      </c>
      <c r="BY19" s="280">
        <v>0</v>
      </c>
      <c r="BZ19" s="280">
        <v>0</v>
      </c>
      <c r="CA19" s="327">
        <v>0</v>
      </c>
      <c r="CB19" s="280">
        <v>0</v>
      </c>
      <c r="CC19" s="280">
        <v>0</v>
      </c>
      <c r="CD19" s="320">
        <v>0</v>
      </c>
    </row>
    <row r="20" spans="1:82" x14ac:dyDescent="0.2">
      <c r="A20" s="260"/>
      <c r="B20" s="14" t="s">
        <v>11</v>
      </c>
      <c r="C20" s="2">
        <v>195405555.48763829</v>
      </c>
      <c r="D20" s="2">
        <v>75892247.402372122</v>
      </c>
      <c r="E20" s="24">
        <v>0.39036717382916308</v>
      </c>
      <c r="F20" s="24">
        <v>0.3550442387907618</v>
      </c>
      <c r="G20" s="24">
        <v>0.31685148948775455</v>
      </c>
      <c r="H20" s="24">
        <v>0.27567188108635893</v>
      </c>
      <c r="I20" s="24">
        <v>0.23146884706764034</v>
      </c>
      <c r="J20" s="24">
        <v>0.184369432089142</v>
      </c>
      <c r="K20" s="24">
        <v>0.13483937780675095</v>
      </c>
      <c r="L20" s="24">
        <v>8.4090106725465852E-2</v>
      </c>
      <c r="M20" s="24">
        <v>3.5177174741065534E-2</v>
      </c>
      <c r="N20" s="24">
        <v>0</v>
      </c>
      <c r="O20" s="24">
        <v>0</v>
      </c>
      <c r="P20" s="24" t="e">
        <v>#DIV/0!</v>
      </c>
      <c r="Q20" s="24" t="e">
        <v>#DIV/0!</v>
      </c>
      <c r="R20" s="24" t="e">
        <v>#DIV/0!</v>
      </c>
      <c r="S20" s="24" t="e">
        <v>#DIV/0!</v>
      </c>
      <c r="T20" s="61" t="e">
        <v>#DIV/0!</v>
      </c>
      <c r="U20" s="283"/>
      <c r="V20" s="269" t="s">
        <v>11</v>
      </c>
      <c r="W20" s="270">
        <v>195405555</v>
      </c>
      <c r="X20" s="270">
        <v>75892247</v>
      </c>
      <c r="Y20" s="416">
        <v>0.39</v>
      </c>
      <c r="Z20" s="369">
        <v>0.35</v>
      </c>
      <c r="AA20" s="450">
        <v>0.31</v>
      </c>
      <c r="AB20" s="337">
        <v>0.27</v>
      </c>
      <c r="AC20" s="376">
        <v>0.23</v>
      </c>
      <c r="AD20" s="451">
        <v>0.18</v>
      </c>
      <c r="AE20" s="452">
        <v>0.13</v>
      </c>
      <c r="AF20" s="339">
        <v>0.08</v>
      </c>
      <c r="AG20" s="453">
        <v>0.03</v>
      </c>
      <c r="AH20" s="280">
        <v>0</v>
      </c>
      <c r="AI20" s="288">
        <v>0</v>
      </c>
      <c r="AJ20" s="280">
        <v>0</v>
      </c>
      <c r="AK20" s="283" t="e">
        <v>#DIV/0!</v>
      </c>
      <c r="AL20" s="283" t="e">
        <v>#DIV/0!</v>
      </c>
      <c r="AM20" s="283" t="e">
        <v>#DIV/0!</v>
      </c>
      <c r="AN20" s="308" t="e">
        <v>#DIV/0!</v>
      </c>
      <c r="AO20" s="260"/>
      <c r="AP20" s="260"/>
      <c r="AQ20" s="269" t="s">
        <v>11</v>
      </c>
      <c r="AR20" s="270">
        <v>195405555</v>
      </c>
      <c r="AS20" s="270">
        <v>75892247</v>
      </c>
      <c r="AT20" s="416">
        <v>0.39</v>
      </c>
      <c r="AU20" s="369">
        <v>0.35</v>
      </c>
      <c r="AV20" s="450">
        <v>0.31</v>
      </c>
      <c r="AW20" s="337">
        <v>0.27</v>
      </c>
      <c r="AX20" s="376">
        <v>0.23</v>
      </c>
      <c r="AY20" s="451">
        <v>0.18</v>
      </c>
      <c r="AZ20" s="452">
        <v>0.13</v>
      </c>
      <c r="BA20" s="454">
        <v>0.08</v>
      </c>
      <c r="BB20" s="277">
        <v>0.03</v>
      </c>
      <c r="BC20" s="280">
        <v>0</v>
      </c>
      <c r="BD20" s="455">
        <v>0</v>
      </c>
      <c r="BE20" s="280">
        <v>0</v>
      </c>
      <c r="BF20" s="283" t="e">
        <v>#DIV/0!</v>
      </c>
      <c r="BG20" s="283" t="e">
        <v>#DIV/0!</v>
      </c>
      <c r="BH20" s="283" t="e">
        <v>#DIV/0!</v>
      </c>
      <c r="BI20" s="308" t="e">
        <v>#DIV/0!</v>
      </c>
      <c r="BJ20" s="260"/>
      <c r="BK20" s="260"/>
      <c r="BL20" s="269" t="s">
        <v>11</v>
      </c>
      <c r="BM20" s="270">
        <v>195405555</v>
      </c>
      <c r="BN20" s="270">
        <v>75892247</v>
      </c>
      <c r="BO20" s="415">
        <v>0.39</v>
      </c>
      <c r="BP20" s="456">
        <v>0.35</v>
      </c>
      <c r="BQ20" s="315">
        <v>0.31</v>
      </c>
      <c r="BR20" s="385">
        <v>0.27</v>
      </c>
      <c r="BS20" s="386">
        <v>0.22</v>
      </c>
      <c r="BT20" s="273">
        <v>0.18</v>
      </c>
      <c r="BU20" s="345">
        <v>0.13</v>
      </c>
      <c r="BV20" s="452">
        <v>0.08</v>
      </c>
      <c r="BW20" s="457">
        <v>0.03</v>
      </c>
      <c r="BX20" s="280">
        <v>0</v>
      </c>
      <c r="BY20" s="458">
        <v>0.01</v>
      </c>
      <c r="BZ20" s="280">
        <v>0</v>
      </c>
      <c r="CA20" s="280">
        <v>0</v>
      </c>
      <c r="CB20" s="280">
        <v>0</v>
      </c>
      <c r="CC20" s="280">
        <v>0</v>
      </c>
      <c r="CD20" s="320">
        <v>0</v>
      </c>
    </row>
    <row r="21" spans="1:82" x14ac:dyDescent="0.2">
      <c r="A21" s="260"/>
      <c r="B21" s="15" t="s">
        <v>14</v>
      </c>
      <c r="C21" s="53">
        <v>4467075684.9250851</v>
      </c>
      <c r="D21" s="53">
        <v>1365370425.5038662</v>
      </c>
      <c r="E21" s="25">
        <v>0.3156236244697051</v>
      </c>
      <c r="F21" s="25">
        <v>0.29355579997706371</v>
      </c>
      <c r="G21" s="25">
        <v>0.26955971897535658</v>
      </c>
      <c r="H21" s="25">
        <v>0.2434668930317529</v>
      </c>
      <c r="I21" s="25">
        <v>0.215094111423174</v>
      </c>
      <c r="J21" s="25">
        <v>0.18424215472258335</v>
      </c>
      <c r="K21" s="25">
        <v>0.15069439598019355</v>
      </c>
      <c r="L21" s="25">
        <v>0.11421527967778915</v>
      </c>
      <c r="M21" s="25">
        <v>7.4548667776145466E-2</v>
      </c>
      <c r="N21" s="25">
        <v>3.140528259737442E-2</v>
      </c>
      <c r="O21" s="25">
        <v>0</v>
      </c>
      <c r="P21" s="25" t="e">
        <v>#DIV/0!</v>
      </c>
      <c r="Q21" s="25" t="e">
        <v>#DIV/0!</v>
      </c>
      <c r="R21" s="25" t="e">
        <v>#DIV/0!</v>
      </c>
      <c r="S21" s="25" t="e">
        <v>#DIV/0!</v>
      </c>
      <c r="T21" s="152" t="e">
        <v>#DIV/0!</v>
      </c>
      <c r="U21" s="474"/>
      <c r="V21" s="459" t="s">
        <v>14</v>
      </c>
      <c r="W21" s="460">
        <v>4467075685</v>
      </c>
      <c r="X21" s="460">
        <v>1365370426</v>
      </c>
      <c r="Y21" s="461">
        <v>0.32</v>
      </c>
      <c r="Z21" s="462">
        <v>0.28999999999999998</v>
      </c>
      <c r="AA21" s="463">
        <v>0.27</v>
      </c>
      <c r="AB21" s="464">
        <v>0.24</v>
      </c>
      <c r="AC21" s="465">
        <v>0.22</v>
      </c>
      <c r="AD21" s="466">
        <v>0.18</v>
      </c>
      <c r="AE21" s="467">
        <v>0.15</v>
      </c>
      <c r="AF21" s="468">
        <v>0.11</v>
      </c>
      <c r="AG21" s="469">
        <v>7.0000000000000007E-2</v>
      </c>
      <c r="AH21" s="470">
        <v>0.03</v>
      </c>
      <c r="AI21" s="471">
        <v>0</v>
      </c>
      <c r="AJ21" s="471">
        <v>0</v>
      </c>
      <c r="AK21" s="472" t="e">
        <v>#DIV/0!</v>
      </c>
      <c r="AL21" s="472" t="e">
        <v>#DIV/0!</v>
      </c>
      <c r="AM21" s="472" t="e">
        <v>#DIV/0!</v>
      </c>
      <c r="AN21" s="473" t="e">
        <v>#DIV/0!</v>
      </c>
      <c r="AO21" s="260"/>
      <c r="AP21" s="260"/>
      <c r="AQ21" s="459" t="s">
        <v>14</v>
      </c>
      <c r="AR21" s="460">
        <v>4467075685</v>
      </c>
      <c r="AS21" s="460">
        <v>1365370426</v>
      </c>
      <c r="AT21" s="461">
        <v>0.32</v>
      </c>
      <c r="AU21" s="462">
        <v>0.28999999999999998</v>
      </c>
      <c r="AV21" s="463">
        <v>0.27</v>
      </c>
      <c r="AW21" s="464">
        <v>0.24</v>
      </c>
      <c r="AX21" s="465">
        <v>0.22</v>
      </c>
      <c r="AY21" s="475">
        <v>0.18</v>
      </c>
      <c r="AZ21" s="476">
        <v>0.15</v>
      </c>
      <c r="BA21" s="468">
        <v>0.11</v>
      </c>
      <c r="BB21" s="477">
        <v>7.0000000000000007E-2</v>
      </c>
      <c r="BC21" s="470">
        <v>0.03</v>
      </c>
      <c r="BD21" s="471">
        <v>0</v>
      </c>
      <c r="BE21" s="471">
        <v>0</v>
      </c>
      <c r="BF21" s="472" t="e">
        <v>#DIV/0!</v>
      </c>
      <c r="BG21" s="472" t="e">
        <v>#DIV/0!</v>
      </c>
      <c r="BH21" s="472" t="e">
        <v>#DIV/0!</v>
      </c>
      <c r="BI21" s="473" t="e">
        <v>#DIV/0!</v>
      </c>
      <c r="BJ21" s="260"/>
      <c r="BK21" s="260"/>
      <c r="BL21" s="459" t="s">
        <v>14</v>
      </c>
      <c r="BM21" s="460">
        <v>4467075685</v>
      </c>
      <c r="BN21" s="460">
        <v>1365370426</v>
      </c>
      <c r="BO21" s="478">
        <v>0.32</v>
      </c>
      <c r="BP21" s="479">
        <v>0.28999999999999998</v>
      </c>
      <c r="BQ21" s="480">
        <v>0.27</v>
      </c>
      <c r="BR21" s="481">
        <v>0.24</v>
      </c>
      <c r="BS21" s="482">
        <v>0.22</v>
      </c>
      <c r="BT21" s="483">
        <v>0.18</v>
      </c>
      <c r="BU21" s="484">
        <v>0.15</v>
      </c>
      <c r="BV21" s="485">
        <v>0.11</v>
      </c>
      <c r="BW21" s="486">
        <v>7.0000000000000007E-2</v>
      </c>
      <c r="BX21" s="487">
        <v>0.03</v>
      </c>
      <c r="BY21" s="471">
        <v>0</v>
      </c>
      <c r="BZ21" s="471">
        <v>0</v>
      </c>
      <c r="CA21" s="471">
        <v>0</v>
      </c>
      <c r="CB21" s="471">
        <v>0</v>
      </c>
      <c r="CC21" s="471">
        <v>0</v>
      </c>
      <c r="CD21" s="488">
        <v>0</v>
      </c>
    </row>
    <row r="22" spans="1:82" x14ac:dyDescent="0.2">
      <c r="A22" s="260"/>
      <c r="J22" s="19"/>
      <c r="O22" s="19"/>
      <c r="U22" s="260"/>
      <c r="V22" s="260"/>
      <c r="W22" s="260"/>
      <c r="X22" s="260"/>
      <c r="Y22" s="260"/>
      <c r="Z22" s="260"/>
      <c r="AA22" s="260"/>
      <c r="AB22" s="260"/>
      <c r="AC22" s="260"/>
      <c r="AD22" s="283"/>
      <c r="AE22" s="260"/>
      <c r="AF22" s="260"/>
      <c r="AG22" s="260"/>
      <c r="AH22" s="260"/>
      <c r="AI22" s="283"/>
      <c r="AJ22" s="260"/>
      <c r="AK22" s="260"/>
      <c r="AL22" s="260"/>
      <c r="AM22" s="260"/>
      <c r="AN22" s="260"/>
      <c r="AO22" s="260"/>
      <c r="AP22" s="260"/>
      <c r="AQ22" s="260"/>
      <c r="AR22" s="260"/>
      <c r="AS22" s="260"/>
      <c r="AT22" s="260"/>
      <c r="AU22" s="260"/>
      <c r="AV22" s="260"/>
      <c r="AW22" s="260"/>
      <c r="AX22" s="260"/>
      <c r="AY22" s="283"/>
      <c r="AZ22" s="260"/>
      <c r="BA22" s="260"/>
      <c r="BB22" s="260"/>
      <c r="BC22" s="260"/>
      <c r="BD22" s="283"/>
      <c r="BE22" s="260"/>
      <c r="BF22" s="260"/>
      <c r="BG22" s="260"/>
      <c r="BH22" s="260"/>
      <c r="BI22" s="260"/>
      <c r="BJ22" s="260"/>
      <c r="BK22" s="260"/>
      <c r="BL22" s="260"/>
      <c r="BM22" s="260"/>
      <c r="BN22" s="260"/>
      <c r="BO22" s="260"/>
      <c r="BP22" s="260"/>
      <c r="BQ22" s="260"/>
      <c r="BR22" s="260"/>
      <c r="BS22" s="260"/>
      <c r="BT22" s="283"/>
      <c r="BU22" s="260"/>
      <c r="BV22" s="260"/>
      <c r="BW22" s="260"/>
      <c r="BX22" s="260"/>
      <c r="BY22" s="283"/>
      <c r="BZ22" s="260"/>
      <c r="CA22" s="260"/>
      <c r="CB22" s="260"/>
      <c r="CC22" s="260"/>
      <c r="CD22" s="260"/>
    </row>
    <row r="23" spans="1:82" ht="19" x14ac:dyDescent="0.25">
      <c r="A23" s="260"/>
      <c r="B23" s="12" t="s">
        <v>211</v>
      </c>
      <c r="J23" s="19"/>
      <c r="O23" s="19"/>
      <c r="U23" s="260"/>
      <c r="V23" s="263" t="s">
        <v>211</v>
      </c>
      <c r="W23" s="260"/>
      <c r="X23" s="260"/>
      <c r="Y23" s="260"/>
      <c r="Z23" s="260"/>
      <c r="AA23" s="260"/>
      <c r="AB23" s="260"/>
      <c r="AC23" s="260"/>
      <c r="AD23" s="283"/>
      <c r="AE23" s="260"/>
      <c r="AF23" s="260"/>
      <c r="AG23" s="260"/>
      <c r="AH23" s="260"/>
      <c r="AI23" s="283"/>
      <c r="AJ23" s="260"/>
      <c r="AK23" s="260"/>
      <c r="AL23" s="260"/>
      <c r="AM23" s="260"/>
      <c r="AN23" s="260"/>
      <c r="AO23" s="260"/>
      <c r="AP23" s="260"/>
      <c r="AQ23" s="263" t="s">
        <v>211</v>
      </c>
      <c r="AR23" s="260"/>
      <c r="AS23" s="260"/>
      <c r="AT23" s="260"/>
      <c r="AU23" s="260"/>
      <c r="AV23" s="260"/>
      <c r="AW23" s="260"/>
      <c r="AX23" s="260"/>
      <c r="AY23" s="283"/>
      <c r="AZ23" s="260"/>
      <c r="BA23" s="260"/>
      <c r="BB23" s="260"/>
      <c r="BC23" s="260"/>
      <c r="BD23" s="283"/>
      <c r="BE23" s="260"/>
      <c r="BF23" s="260"/>
      <c r="BG23" s="260"/>
      <c r="BH23" s="260"/>
      <c r="BI23" s="260"/>
      <c r="BJ23" s="260"/>
      <c r="BK23" s="260"/>
      <c r="BL23" s="263" t="s">
        <v>211</v>
      </c>
      <c r="BM23" s="260"/>
      <c r="BN23" s="260"/>
      <c r="BO23" s="260"/>
      <c r="BP23" s="260"/>
      <c r="BQ23" s="260"/>
      <c r="BR23" s="260"/>
      <c r="BS23" s="260"/>
      <c r="BT23" s="283"/>
      <c r="BU23" s="260"/>
      <c r="BV23" s="260"/>
      <c r="BW23" s="260"/>
      <c r="BX23" s="260"/>
      <c r="BY23" s="283"/>
      <c r="BZ23" s="260"/>
      <c r="CA23" s="260"/>
      <c r="CB23" s="260"/>
      <c r="CC23" s="260"/>
      <c r="CD23" s="260"/>
    </row>
    <row r="24" spans="1:82" ht="32" x14ac:dyDescent="0.2">
      <c r="A24" s="260"/>
      <c r="B24" s="22" t="s">
        <v>12</v>
      </c>
      <c r="C24" s="13" t="s">
        <v>15</v>
      </c>
      <c r="D24" s="13" t="s">
        <v>13</v>
      </c>
      <c r="E24" s="13" t="s">
        <v>37</v>
      </c>
      <c r="F24" s="13" t="s">
        <v>35</v>
      </c>
      <c r="G24" s="13" t="s">
        <v>36</v>
      </c>
      <c r="H24" s="13" t="s">
        <v>38</v>
      </c>
      <c r="I24" s="13" t="s">
        <v>39</v>
      </c>
      <c r="J24" s="13" t="s">
        <v>40</v>
      </c>
      <c r="K24" s="13" t="s">
        <v>41</v>
      </c>
      <c r="L24" s="13" t="s">
        <v>42</v>
      </c>
      <c r="M24" s="13" t="s">
        <v>43</v>
      </c>
      <c r="N24" s="13" t="s">
        <v>44</v>
      </c>
      <c r="O24" s="13" t="s">
        <v>45</v>
      </c>
      <c r="P24" s="13" t="s">
        <v>46</v>
      </c>
      <c r="Q24" s="13" t="s">
        <v>47</v>
      </c>
      <c r="R24" s="13" t="s">
        <v>75</v>
      </c>
      <c r="S24" s="13" t="s">
        <v>76</v>
      </c>
      <c r="T24" s="23" t="s">
        <v>77</v>
      </c>
      <c r="U24" s="268"/>
      <c r="V24" s="264" t="s">
        <v>12</v>
      </c>
      <c r="W24" s="265" t="s">
        <v>15</v>
      </c>
      <c r="X24" s="265" t="s">
        <v>13</v>
      </c>
      <c r="Y24" s="265" t="s">
        <v>37</v>
      </c>
      <c r="Z24" s="265" t="s">
        <v>35</v>
      </c>
      <c r="AA24" s="265" t="s">
        <v>36</v>
      </c>
      <c r="AB24" s="265" t="s">
        <v>38</v>
      </c>
      <c r="AC24" s="265" t="s">
        <v>39</v>
      </c>
      <c r="AD24" s="265" t="s">
        <v>40</v>
      </c>
      <c r="AE24" s="265" t="s">
        <v>41</v>
      </c>
      <c r="AF24" s="265" t="s">
        <v>42</v>
      </c>
      <c r="AG24" s="265" t="s">
        <v>43</v>
      </c>
      <c r="AH24" s="265" t="s">
        <v>44</v>
      </c>
      <c r="AI24" s="265" t="s">
        <v>45</v>
      </c>
      <c r="AJ24" s="265" t="s">
        <v>46</v>
      </c>
      <c r="AK24" s="265" t="s">
        <v>47</v>
      </c>
      <c r="AL24" s="265" t="s">
        <v>75</v>
      </c>
      <c r="AM24" s="265" t="s">
        <v>76</v>
      </c>
      <c r="AN24" s="489" t="s">
        <v>77</v>
      </c>
      <c r="AO24" s="260"/>
      <c r="AP24" s="260"/>
      <c r="AQ24" s="264" t="s">
        <v>12</v>
      </c>
      <c r="AR24" s="265" t="s">
        <v>15</v>
      </c>
      <c r="AS24" s="265" t="s">
        <v>13</v>
      </c>
      <c r="AT24" s="265" t="s">
        <v>37</v>
      </c>
      <c r="AU24" s="265" t="s">
        <v>35</v>
      </c>
      <c r="AV24" s="265" t="s">
        <v>36</v>
      </c>
      <c r="AW24" s="265" t="s">
        <v>38</v>
      </c>
      <c r="AX24" s="265" t="s">
        <v>39</v>
      </c>
      <c r="AY24" s="265" t="s">
        <v>40</v>
      </c>
      <c r="AZ24" s="265" t="s">
        <v>41</v>
      </c>
      <c r="BA24" s="265" t="s">
        <v>42</v>
      </c>
      <c r="BB24" s="265" t="s">
        <v>43</v>
      </c>
      <c r="BC24" s="265" t="s">
        <v>44</v>
      </c>
      <c r="BD24" s="265" t="s">
        <v>45</v>
      </c>
      <c r="BE24" s="265" t="s">
        <v>46</v>
      </c>
      <c r="BF24" s="265" t="s">
        <v>47</v>
      </c>
      <c r="BG24" s="265" t="s">
        <v>75</v>
      </c>
      <c r="BH24" s="265" t="s">
        <v>76</v>
      </c>
      <c r="BI24" s="489" t="s">
        <v>77</v>
      </c>
      <c r="BJ24" s="260"/>
      <c r="BK24" s="260"/>
      <c r="BL24" s="264" t="s">
        <v>12</v>
      </c>
      <c r="BM24" s="265" t="s">
        <v>15</v>
      </c>
      <c r="BN24" s="265" t="s">
        <v>13</v>
      </c>
      <c r="BO24" s="265" t="s">
        <v>37</v>
      </c>
      <c r="BP24" s="265" t="s">
        <v>35</v>
      </c>
      <c r="BQ24" s="265" t="s">
        <v>36</v>
      </c>
      <c r="BR24" s="265" t="s">
        <v>38</v>
      </c>
      <c r="BS24" s="265" t="s">
        <v>39</v>
      </c>
      <c r="BT24" s="265" t="s">
        <v>40</v>
      </c>
      <c r="BU24" s="265" t="s">
        <v>41</v>
      </c>
      <c r="BV24" s="265" t="s">
        <v>42</v>
      </c>
      <c r="BW24" s="265" t="s">
        <v>43</v>
      </c>
      <c r="BX24" s="265" t="s">
        <v>44</v>
      </c>
      <c r="BY24" s="265" t="s">
        <v>45</v>
      </c>
      <c r="BZ24" s="265" t="s">
        <v>46</v>
      </c>
      <c r="CA24" s="265" t="s">
        <v>47</v>
      </c>
      <c r="CB24" s="265" t="s">
        <v>75</v>
      </c>
      <c r="CC24" s="265" t="s">
        <v>76</v>
      </c>
      <c r="CD24" s="489" t="s">
        <v>77</v>
      </c>
    </row>
    <row r="25" spans="1:82" x14ac:dyDescent="0.2">
      <c r="A25" s="260"/>
      <c r="B25" s="14" t="s">
        <v>0</v>
      </c>
      <c r="C25" s="2">
        <v>74061017.606188729</v>
      </c>
      <c r="D25" s="2">
        <v>20012870.843441181</v>
      </c>
      <c r="E25" s="59">
        <v>0.15151550802328559</v>
      </c>
      <c r="F25" s="59">
        <v>0.1371462281791262</v>
      </c>
      <c r="G25" s="59">
        <v>0.12329197452119223</v>
      </c>
      <c r="H25" s="59">
        <v>0.10928224525000545</v>
      </c>
      <c r="I25" s="59">
        <v>9.4474716585536272E-2</v>
      </c>
      <c r="J25" s="59">
        <v>7.8248493989554843E-2</v>
      </c>
      <c r="K25" s="59">
        <v>6.0171180918596717E-2</v>
      </c>
      <c r="L25" s="59">
        <v>4.0841391346812014E-2</v>
      </c>
      <c r="M25" s="59">
        <v>0.03</v>
      </c>
      <c r="N25" s="59">
        <v>0.03</v>
      </c>
      <c r="O25" s="59" t="e">
        <v>#DIV/0!</v>
      </c>
      <c r="P25" s="59" t="e">
        <v>#DIV/0!</v>
      </c>
      <c r="Q25" s="59" t="e">
        <v>#DIV/0!</v>
      </c>
      <c r="R25" s="59" t="e">
        <v>#DIV/0!</v>
      </c>
      <c r="S25" s="59" t="e">
        <v>#DIV/0!</v>
      </c>
      <c r="T25" s="60" t="e">
        <v>#DIV/0!</v>
      </c>
      <c r="U25" s="283"/>
      <c r="V25" s="269" t="s">
        <v>0</v>
      </c>
      <c r="W25" s="270">
        <v>74061018</v>
      </c>
      <c r="X25" s="270">
        <v>20012871</v>
      </c>
      <c r="Y25" s="490">
        <v>0.154</v>
      </c>
      <c r="Z25" s="491">
        <v>0.13800000000000001</v>
      </c>
      <c r="AA25" s="492">
        <v>0.123</v>
      </c>
      <c r="AB25" s="493">
        <v>0.108</v>
      </c>
      <c r="AC25" s="494">
        <v>9.1999999999999998E-2</v>
      </c>
      <c r="AD25" s="495">
        <v>7.5999999999999998E-2</v>
      </c>
      <c r="AE25" s="496">
        <v>5.8000000000000003E-2</v>
      </c>
      <c r="AF25" s="497">
        <v>4.1000000000000002E-2</v>
      </c>
      <c r="AG25" s="498">
        <v>0.03</v>
      </c>
      <c r="AH25" s="499">
        <v>4.5999999999999999E-2</v>
      </c>
      <c r="AI25" s="500">
        <v>2.3E-2</v>
      </c>
      <c r="AJ25" s="261" t="e">
        <v>#DIV/0!</v>
      </c>
      <c r="AK25" s="261" t="e">
        <v>#DIV/0!</v>
      </c>
      <c r="AL25" s="261" t="e">
        <v>#DIV/0!</v>
      </c>
      <c r="AM25" s="261" t="e">
        <v>#DIV/0!</v>
      </c>
      <c r="AN25" s="308" t="e">
        <v>#DIV/0!</v>
      </c>
      <c r="AO25" s="260"/>
      <c r="AP25" s="260"/>
      <c r="AQ25" s="269" t="s">
        <v>0</v>
      </c>
      <c r="AR25" s="270">
        <v>74061018</v>
      </c>
      <c r="AS25" s="270">
        <v>20012871</v>
      </c>
      <c r="AT25" s="501">
        <v>0.155</v>
      </c>
      <c r="AU25" s="502">
        <v>0.13800000000000001</v>
      </c>
      <c r="AV25" s="503">
        <v>0.123</v>
      </c>
      <c r="AW25" s="504">
        <v>0.107</v>
      </c>
      <c r="AX25" s="505">
        <v>9.1999999999999998E-2</v>
      </c>
      <c r="AY25" s="506">
        <v>7.4999999999999997E-2</v>
      </c>
      <c r="AZ25" s="496">
        <v>5.8000000000000003E-2</v>
      </c>
      <c r="BA25" s="507">
        <v>4.1000000000000002E-2</v>
      </c>
      <c r="BB25" s="508">
        <v>3.1E-2</v>
      </c>
      <c r="BC25" s="499">
        <v>4.4999999999999998E-2</v>
      </c>
      <c r="BD25" s="500">
        <v>0.02</v>
      </c>
      <c r="BE25" s="261" t="e">
        <v>#DIV/0!</v>
      </c>
      <c r="BF25" s="261" t="e">
        <v>#DIV/0!</v>
      </c>
      <c r="BG25" s="261" t="e">
        <v>#DIV/0!</v>
      </c>
      <c r="BH25" s="261" t="e">
        <v>#DIV/0!</v>
      </c>
      <c r="BI25" s="308" t="e">
        <v>#DIV/0!</v>
      </c>
      <c r="BJ25" s="260"/>
      <c r="BK25" s="260"/>
      <c r="BL25" s="269" t="s">
        <v>0</v>
      </c>
      <c r="BM25" s="270">
        <v>74061018</v>
      </c>
      <c r="BN25" s="270">
        <v>20012871</v>
      </c>
      <c r="BO25" s="509">
        <v>0.157</v>
      </c>
      <c r="BP25" s="510">
        <v>0.13900000000000001</v>
      </c>
      <c r="BQ25" s="511">
        <v>0.122</v>
      </c>
      <c r="BR25" s="491">
        <v>0.106</v>
      </c>
      <c r="BS25" s="503">
        <v>0.09</v>
      </c>
      <c r="BT25" s="512">
        <v>7.3999999999999996E-2</v>
      </c>
      <c r="BU25" s="513">
        <v>5.7000000000000002E-2</v>
      </c>
      <c r="BV25" s="514">
        <v>4.1000000000000002E-2</v>
      </c>
      <c r="BW25" s="515">
        <v>3.4000000000000002E-2</v>
      </c>
      <c r="BX25" s="496">
        <v>4.2000000000000003E-2</v>
      </c>
      <c r="BY25" s="500">
        <v>1.4999999999999999E-2</v>
      </c>
      <c r="BZ25" s="516">
        <v>0.76500000000000001</v>
      </c>
      <c r="CA25" s="500">
        <v>1.4999999999999999E-2</v>
      </c>
      <c r="CB25" s="500">
        <v>1.4999999999999999E-2</v>
      </c>
      <c r="CC25" s="500">
        <v>1.4999999999999999E-2</v>
      </c>
      <c r="CD25" s="308" t="e">
        <v>#DIV/0!</v>
      </c>
    </row>
    <row r="26" spans="1:82" x14ac:dyDescent="0.2">
      <c r="A26" s="260"/>
      <c r="B26" s="14" t="s">
        <v>1</v>
      </c>
      <c r="C26" s="2">
        <v>164966421.92469403</v>
      </c>
      <c r="D26" s="2">
        <v>66753996.300633356</v>
      </c>
      <c r="E26" s="59">
        <v>0.19490912002870353</v>
      </c>
      <c r="F26" s="59">
        <v>0.18214672025249753</v>
      </c>
      <c r="G26" s="59">
        <v>0.1711574764684666</v>
      </c>
      <c r="H26" s="59">
        <v>0.16117270517791674</v>
      </c>
      <c r="I26" s="59">
        <v>0.15144569494863008</v>
      </c>
      <c r="J26" s="59">
        <v>0.1410401708696411</v>
      </c>
      <c r="K26" s="59">
        <v>0.1284280749444158</v>
      </c>
      <c r="L26" s="59">
        <v>0.11042361873913967</v>
      </c>
      <c r="M26" s="59">
        <v>7.822089524578843E-2</v>
      </c>
      <c r="N26" s="59">
        <v>0.03</v>
      </c>
      <c r="O26" s="59" t="e">
        <v>#DIV/0!</v>
      </c>
      <c r="P26" s="59" t="e">
        <v>#DIV/0!</v>
      </c>
      <c r="Q26" s="59" t="e">
        <v>#DIV/0!</v>
      </c>
      <c r="R26" s="59" t="e">
        <v>#DIV/0!</v>
      </c>
      <c r="S26" s="59" t="e">
        <v>#DIV/0!</v>
      </c>
      <c r="T26" s="61" t="e">
        <v>#DIV/0!</v>
      </c>
      <c r="U26" s="283"/>
      <c r="V26" s="269" t="s">
        <v>1</v>
      </c>
      <c r="W26" s="270">
        <v>164966422</v>
      </c>
      <c r="X26" s="270">
        <v>66753996</v>
      </c>
      <c r="Y26" s="517">
        <v>0.20100000000000001</v>
      </c>
      <c r="Z26" s="518">
        <v>0.186</v>
      </c>
      <c r="AA26" s="519">
        <v>0.17299999999999999</v>
      </c>
      <c r="AB26" s="520">
        <v>0.16200000000000001</v>
      </c>
      <c r="AC26" s="509">
        <v>0.151</v>
      </c>
      <c r="AD26" s="511">
        <v>0.13900000000000001</v>
      </c>
      <c r="AE26" s="521">
        <v>0.125</v>
      </c>
      <c r="AF26" s="522">
        <v>0.106</v>
      </c>
      <c r="AG26" s="523">
        <v>7.2999999999999995E-2</v>
      </c>
      <c r="AH26" s="500">
        <v>2.3E-2</v>
      </c>
      <c r="AI26" s="524">
        <v>0.183</v>
      </c>
      <c r="AJ26" s="261" t="e">
        <v>#DIV/0!</v>
      </c>
      <c r="AK26" s="261" t="e">
        <v>#DIV/0!</v>
      </c>
      <c r="AL26" s="261" t="e">
        <v>#DIV/0!</v>
      </c>
      <c r="AM26" s="261" t="e">
        <v>#DIV/0!</v>
      </c>
      <c r="AN26" s="308" t="e">
        <v>#DIV/0!</v>
      </c>
      <c r="AO26" s="260"/>
      <c r="AP26" s="260"/>
      <c r="AQ26" s="269" t="s">
        <v>1</v>
      </c>
      <c r="AR26" s="270">
        <v>164966422</v>
      </c>
      <c r="AS26" s="270">
        <v>66753996</v>
      </c>
      <c r="AT26" s="525">
        <v>0.20300000000000001</v>
      </c>
      <c r="AU26" s="526">
        <v>0.187</v>
      </c>
      <c r="AV26" s="527">
        <v>0.17399999999999999</v>
      </c>
      <c r="AW26" s="518">
        <v>0.16200000000000001</v>
      </c>
      <c r="AX26" s="520">
        <v>0.151</v>
      </c>
      <c r="AY26" s="491">
        <v>0.13900000000000001</v>
      </c>
      <c r="AZ26" s="528">
        <v>0.124</v>
      </c>
      <c r="BA26" s="529">
        <v>0.104</v>
      </c>
      <c r="BB26" s="530">
        <v>7.0999999999999994E-2</v>
      </c>
      <c r="BC26" s="500">
        <v>0.02</v>
      </c>
      <c r="BD26" s="531">
        <v>0.29899999999999999</v>
      </c>
      <c r="BE26" s="261" t="e">
        <v>#DIV/0!</v>
      </c>
      <c r="BF26" s="261" t="e">
        <v>#DIV/0!</v>
      </c>
      <c r="BG26" s="261" t="e">
        <v>#DIV/0!</v>
      </c>
      <c r="BH26" s="261" t="e">
        <v>#DIV/0!</v>
      </c>
      <c r="BI26" s="308" t="e">
        <v>#DIV/0!</v>
      </c>
      <c r="BJ26" s="260"/>
      <c r="BK26" s="260"/>
      <c r="BL26" s="269" t="s">
        <v>1</v>
      </c>
      <c r="BM26" s="270">
        <v>164966422</v>
      </c>
      <c r="BN26" s="270">
        <v>66753996</v>
      </c>
      <c r="BO26" s="532">
        <v>0.20699999999999999</v>
      </c>
      <c r="BP26" s="520">
        <v>0.19</v>
      </c>
      <c r="BQ26" s="533">
        <v>0.17499999999999999</v>
      </c>
      <c r="BR26" s="490">
        <v>0.16200000000000001</v>
      </c>
      <c r="BS26" s="534">
        <v>0.15</v>
      </c>
      <c r="BT26" s="510">
        <v>0.13700000000000001</v>
      </c>
      <c r="BU26" s="511">
        <v>0.122</v>
      </c>
      <c r="BV26" s="535">
        <v>0.10100000000000001</v>
      </c>
      <c r="BW26" s="536">
        <v>6.8000000000000005E-2</v>
      </c>
      <c r="BX26" s="500">
        <v>1.4999999999999999E-2</v>
      </c>
      <c r="BY26" s="527">
        <v>0.38300000000000001</v>
      </c>
      <c r="BZ26" s="500">
        <v>1.4999999999999999E-2</v>
      </c>
      <c r="CA26" s="500">
        <v>1.4999999999999999E-2</v>
      </c>
      <c r="CB26" s="500">
        <v>1.4999999999999999E-2</v>
      </c>
      <c r="CC26" s="500">
        <v>1.4999999999999999E-2</v>
      </c>
      <c r="CD26" s="308" t="e">
        <v>#DIV/0!</v>
      </c>
    </row>
    <row r="27" spans="1:82" x14ac:dyDescent="0.2">
      <c r="A27" s="260"/>
      <c r="B27" s="14" t="s">
        <v>2</v>
      </c>
      <c r="C27" s="2">
        <v>111850437.83915582</v>
      </c>
      <c r="D27" s="2">
        <v>59635517.784009442</v>
      </c>
      <c r="E27" s="59">
        <v>0.39717437667524064</v>
      </c>
      <c r="F27" s="59">
        <v>0.31080996926001025</v>
      </c>
      <c r="G27" s="59">
        <v>0.25605934542306552</v>
      </c>
      <c r="H27" s="59">
        <v>0.21649516355943252</v>
      </c>
      <c r="I27" s="59">
        <v>0.18447718969705204</v>
      </c>
      <c r="J27" s="59">
        <v>0.15540943385809328</v>
      </c>
      <c r="K27" s="59">
        <v>0.12549055062281766</v>
      </c>
      <c r="L27" s="59">
        <v>9.0275859301753483E-2</v>
      </c>
      <c r="M27" s="59">
        <v>4.3744586412886768E-2</v>
      </c>
      <c r="N27" s="59">
        <v>0.03</v>
      </c>
      <c r="O27" s="59" t="e">
        <v>#DIV/0!</v>
      </c>
      <c r="P27" s="59" t="e">
        <v>#DIV/0!</v>
      </c>
      <c r="Q27" s="59" t="e">
        <v>#DIV/0!</v>
      </c>
      <c r="R27" s="59" t="e">
        <v>#DIV/0!</v>
      </c>
      <c r="S27" s="59" t="e">
        <v>#DIV/0!</v>
      </c>
      <c r="T27" s="61" t="e">
        <v>#DIV/0!</v>
      </c>
      <c r="U27" s="283"/>
      <c r="V27" s="269" t="s">
        <v>2</v>
      </c>
      <c r="W27" s="270">
        <v>111850438</v>
      </c>
      <c r="X27" s="270">
        <v>59635518</v>
      </c>
      <c r="Y27" s="537">
        <v>0.42</v>
      </c>
      <c r="Z27" s="538">
        <v>0.32</v>
      </c>
      <c r="AA27" s="539">
        <v>0.25800000000000001</v>
      </c>
      <c r="AB27" s="527">
        <v>0.215</v>
      </c>
      <c r="AC27" s="524">
        <v>0.18</v>
      </c>
      <c r="AD27" s="534">
        <v>0.14899999999999999</v>
      </c>
      <c r="AE27" s="540">
        <v>0.11700000000000001</v>
      </c>
      <c r="AF27" s="541">
        <v>8.2000000000000003E-2</v>
      </c>
      <c r="AG27" s="542">
        <v>0.04</v>
      </c>
      <c r="AH27" s="500">
        <v>2.3E-2</v>
      </c>
      <c r="AI27" s="543">
        <v>0.77200000000000002</v>
      </c>
      <c r="AJ27" s="261" t="e">
        <v>#DIV/0!</v>
      </c>
      <c r="AK27" s="261" t="e">
        <v>#DIV/0!</v>
      </c>
      <c r="AL27" s="261" t="e">
        <v>#DIV/0!</v>
      </c>
      <c r="AM27" s="261" t="e">
        <v>#DIV/0!</v>
      </c>
      <c r="AN27" s="308" t="e">
        <v>#DIV/0!</v>
      </c>
      <c r="AO27" s="260"/>
      <c r="AP27" s="260"/>
      <c r="AQ27" s="269" t="s">
        <v>2</v>
      </c>
      <c r="AR27" s="270">
        <v>111850438</v>
      </c>
      <c r="AS27" s="270">
        <v>59635518</v>
      </c>
      <c r="AT27" s="543">
        <v>0.42799999999999999</v>
      </c>
      <c r="AU27" s="544">
        <v>0.32200000000000001</v>
      </c>
      <c r="AV27" s="545">
        <v>0.25900000000000001</v>
      </c>
      <c r="AW27" s="546">
        <v>0.214</v>
      </c>
      <c r="AX27" s="547">
        <v>0.17799999999999999</v>
      </c>
      <c r="AY27" s="490">
        <v>0.14699999999999999</v>
      </c>
      <c r="AZ27" s="548">
        <v>0.115</v>
      </c>
      <c r="BA27" s="549">
        <v>0.08</v>
      </c>
      <c r="BB27" s="497">
        <v>3.9E-2</v>
      </c>
      <c r="BC27" s="550">
        <v>2.5999999999999999E-2</v>
      </c>
      <c r="BD27" s="551">
        <v>0.33400000000000002</v>
      </c>
      <c r="BE27" s="261" t="e">
        <v>#DIV/0!</v>
      </c>
      <c r="BF27" s="261" t="e">
        <v>#DIV/0!</v>
      </c>
      <c r="BG27" s="261" t="e">
        <v>#DIV/0!</v>
      </c>
      <c r="BH27" s="261" t="e">
        <v>#DIV/0!</v>
      </c>
      <c r="BI27" s="308" t="e">
        <v>#DIV/0!</v>
      </c>
      <c r="BJ27" s="260"/>
      <c r="BK27" s="260"/>
      <c r="BL27" s="269" t="s">
        <v>2</v>
      </c>
      <c r="BM27" s="270">
        <v>111850438</v>
      </c>
      <c r="BN27" s="270">
        <v>59635518</v>
      </c>
      <c r="BO27" s="552">
        <v>0.443</v>
      </c>
      <c r="BP27" s="553">
        <v>0.32800000000000001</v>
      </c>
      <c r="BQ27" s="554">
        <v>0.25900000000000001</v>
      </c>
      <c r="BR27" s="532">
        <v>0.21199999999999999</v>
      </c>
      <c r="BS27" s="533">
        <v>0.17499999999999999</v>
      </c>
      <c r="BT27" s="510">
        <v>0.14199999999999999</v>
      </c>
      <c r="BU27" s="491">
        <v>0.11</v>
      </c>
      <c r="BV27" s="555">
        <v>7.4999999999999997E-2</v>
      </c>
      <c r="BW27" s="556">
        <v>3.7999999999999999E-2</v>
      </c>
      <c r="BX27" s="557">
        <v>3.6999999999999998E-2</v>
      </c>
      <c r="BY27" s="500">
        <v>1.4999999999999999E-2</v>
      </c>
      <c r="BZ27" s="558">
        <v>1.044</v>
      </c>
      <c r="CA27" s="500">
        <v>1.4999999999999999E-2</v>
      </c>
      <c r="CB27" s="500">
        <v>1.4999999999999999E-2</v>
      </c>
      <c r="CC27" s="500">
        <v>1.4999999999999999E-2</v>
      </c>
      <c r="CD27" s="308" t="e">
        <v>#DIV/0!</v>
      </c>
    </row>
    <row r="28" spans="1:82" x14ac:dyDescent="0.2">
      <c r="A28" s="260"/>
      <c r="B28" s="14" t="s">
        <v>3</v>
      </c>
      <c r="C28" s="2">
        <v>477796928.12292886</v>
      </c>
      <c r="D28" s="2">
        <v>234399775.04964375</v>
      </c>
      <c r="E28" s="59">
        <v>0.21067088715278051</v>
      </c>
      <c r="F28" s="59">
        <v>0.20112094931184984</v>
      </c>
      <c r="G28" s="59">
        <v>0.19398407800506867</v>
      </c>
      <c r="H28" s="59">
        <v>0.18883311379243822</v>
      </c>
      <c r="I28" s="59">
        <v>0.18544489255774901</v>
      </c>
      <c r="J28" s="59">
        <v>0.18377219821999785</v>
      </c>
      <c r="K28" s="59">
        <v>0.18395960837098638</v>
      </c>
      <c r="L28" s="59">
        <v>0.18639732066521927</v>
      </c>
      <c r="M28" s="59">
        <v>0.19134937610704886</v>
      </c>
      <c r="N28" s="59">
        <v>0.18613428739689092</v>
      </c>
      <c r="O28" s="59" t="e">
        <v>#DIV/0!</v>
      </c>
      <c r="P28" s="59" t="e">
        <v>#DIV/0!</v>
      </c>
      <c r="Q28" s="59" t="e">
        <v>#DIV/0!</v>
      </c>
      <c r="R28" s="59" t="e">
        <v>#DIV/0!</v>
      </c>
      <c r="S28" s="59" t="e">
        <v>#DIV/0!</v>
      </c>
      <c r="T28" s="61" t="e">
        <v>#DIV/0!</v>
      </c>
      <c r="U28" s="283"/>
      <c r="V28" s="269" t="s">
        <v>3</v>
      </c>
      <c r="W28" s="270">
        <v>477796928</v>
      </c>
      <c r="X28" s="270">
        <v>234399775</v>
      </c>
      <c r="Y28" s="559">
        <v>0.218</v>
      </c>
      <c r="Z28" s="560">
        <v>0.20599999999999999</v>
      </c>
      <c r="AA28" s="553">
        <v>0.19800000000000001</v>
      </c>
      <c r="AB28" s="561">
        <v>0.191</v>
      </c>
      <c r="AC28" s="518">
        <v>0.187</v>
      </c>
      <c r="AD28" s="518">
        <v>0.184</v>
      </c>
      <c r="AE28" s="524">
        <v>0.183</v>
      </c>
      <c r="AF28" s="518">
        <v>0.184</v>
      </c>
      <c r="AG28" s="518">
        <v>0.186</v>
      </c>
      <c r="AH28" s="501">
        <v>0.17100000000000001</v>
      </c>
      <c r="AI28" s="500">
        <v>2.3E-2</v>
      </c>
      <c r="AJ28" s="261" t="e">
        <v>#DIV/0!</v>
      </c>
      <c r="AK28" s="261" t="e">
        <v>#DIV/0!</v>
      </c>
      <c r="AL28" s="261" t="e">
        <v>#DIV/0!</v>
      </c>
      <c r="AM28" s="261" t="e">
        <v>#DIV/0!</v>
      </c>
      <c r="AN28" s="308" t="e">
        <v>#DIV/0!</v>
      </c>
      <c r="AO28" s="260"/>
      <c r="AP28" s="260"/>
      <c r="AQ28" s="269" t="s">
        <v>3</v>
      </c>
      <c r="AR28" s="270">
        <v>477796928</v>
      </c>
      <c r="AS28" s="270">
        <v>234399775</v>
      </c>
      <c r="AT28" s="562">
        <v>0.221</v>
      </c>
      <c r="AU28" s="563">
        <v>0.20799999999999999</v>
      </c>
      <c r="AV28" s="564">
        <v>0.19900000000000001</v>
      </c>
      <c r="AW28" s="565">
        <v>0.192</v>
      </c>
      <c r="AX28" s="526">
        <v>0.187</v>
      </c>
      <c r="AY28" s="566">
        <v>0.184</v>
      </c>
      <c r="AZ28" s="552">
        <v>0.183</v>
      </c>
      <c r="BA28" s="567">
        <v>0.183</v>
      </c>
      <c r="BB28" s="567">
        <v>0.183</v>
      </c>
      <c r="BC28" s="553">
        <v>0.16700000000000001</v>
      </c>
      <c r="BD28" s="500">
        <v>0.02</v>
      </c>
      <c r="BE28" s="261" t="e">
        <v>#DIV/0!</v>
      </c>
      <c r="BF28" s="261" t="e">
        <v>#DIV/0!</v>
      </c>
      <c r="BG28" s="261" t="e">
        <v>#DIV/0!</v>
      </c>
      <c r="BH28" s="261" t="e">
        <v>#DIV/0!</v>
      </c>
      <c r="BI28" s="308" t="e">
        <v>#DIV/0!</v>
      </c>
      <c r="BJ28" s="260"/>
      <c r="BK28" s="260"/>
      <c r="BL28" s="269" t="s">
        <v>3</v>
      </c>
      <c r="BM28" s="270">
        <v>477796928</v>
      </c>
      <c r="BN28" s="270">
        <v>234399775</v>
      </c>
      <c r="BO28" s="501">
        <v>0.22600000000000001</v>
      </c>
      <c r="BP28" s="532">
        <v>0.21199999999999999</v>
      </c>
      <c r="BQ28" s="520">
        <v>0.20100000000000001</v>
      </c>
      <c r="BR28" s="520">
        <v>0.193</v>
      </c>
      <c r="BS28" s="520">
        <v>0.188</v>
      </c>
      <c r="BT28" s="533">
        <v>0.184</v>
      </c>
      <c r="BU28" s="533">
        <v>0.182</v>
      </c>
      <c r="BV28" s="533">
        <v>0.18099999999999999</v>
      </c>
      <c r="BW28" s="533">
        <v>0.17899999999999999</v>
      </c>
      <c r="BX28" s="509">
        <v>0.158</v>
      </c>
      <c r="BY28" s="500">
        <v>1.4999999999999999E-2</v>
      </c>
      <c r="BZ28" s="500">
        <v>1.4999999999999999E-2</v>
      </c>
      <c r="CA28" s="500">
        <v>1.4999999999999999E-2</v>
      </c>
      <c r="CB28" s="500">
        <v>1.4999999999999999E-2</v>
      </c>
      <c r="CC28" s="491">
        <v>0.115</v>
      </c>
      <c r="CD28" s="308" t="e">
        <v>#DIV/0!</v>
      </c>
    </row>
    <row r="29" spans="1:82" x14ac:dyDescent="0.2">
      <c r="A29" s="260"/>
      <c r="B29" s="14" t="s">
        <v>4</v>
      </c>
      <c r="C29" s="2">
        <v>164227660.88237971</v>
      </c>
      <c r="D29" s="2">
        <v>96491379.044015497</v>
      </c>
      <c r="E29" s="59">
        <v>0.32569105018621541</v>
      </c>
      <c r="F29" s="59">
        <v>0.27627190630755177</v>
      </c>
      <c r="G29" s="59">
        <v>0.2420337455998951</v>
      </c>
      <c r="H29" s="59">
        <v>0.21623620670818289</v>
      </c>
      <c r="I29" s="59">
        <v>0.19513599870248619</v>
      </c>
      <c r="J29" s="59">
        <v>0.17609823470367142</v>
      </c>
      <c r="K29" s="59">
        <v>0.15646359708715876</v>
      </c>
      <c r="L29" s="59">
        <v>0.13198723502346396</v>
      </c>
      <c r="M29" s="59">
        <v>9.187626150179537E-2</v>
      </c>
      <c r="N29" s="59">
        <v>0.03</v>
      </c>
      <c r="O29" s="59" t="e">
        <v>#DIV/0!</v>
      </c>
      <c r="P29" s="59" t="e">
        <v>#DIV/0!</v>
      </c>
      <c r="Q29" s="59" t="e">
        <v>#DIV/0!</v>
      </c>
      <c r="R29" s="59" t="e">
        <v>#DIV/0!</v>
      </c>
      <c r="S29" s="59" t="e">
        <v>#DIV/0!</v>
      </c>
      <c r="T29" s="61" t="e">
        <v>#DIV/0!</v>
      </c>
      <c r="U29" s="283"/>
      <c r="V29" s="269" t="s">
        <v>4</v>
      </c>
      <c r="W29" s="270">
        <v>164227661</v>
      </c>
      <c r="X29" s="270">
        <v>96491379</v>
      </c>
      <c r="Y29" s="568">
        <v>0.34300000000000003</v>
      </c>
      <c r="Z29" s="569">
        <v>0.28499999999999998</v>
      </c>
      <c r="AA29" s="570">
        <v>0.246</v>
      </c>
      <c r="AB29" s="559">
        <v>0.217</v>
      </c>
      <c r="AC29" s="571">
        <v>0.193</v>
      </c>
      <c r="AD29" s="519">
        <v>0.17199999999999999</v>
      </c>
      <c r="AE29" s="509">
        <v>0.151</v>
      </c>
      <c r="AF29" s="572">
        <v>0.124</v>
      </c>
      <c r="AG29" s="573">
        <v>8.3000000000000004E-2</v>
      </c>
      <c r="AH29" s="500">
        <v>2.3E-2</v>
      </c>
      <c r="AI29" s="574">
        <v>6.5000000000000002E-2</v>
      </c>
      <c r="AJ29" s="261" t="e">
        <v>#DIV/0!</v>
      </c>
      <c r="AK29" s="261" t="e">
        <v>#DIV/0!</v>
      </c>
      <c r="AL29" s="261" t="e">
        <v>#DIV/0!</v>
      </c>
      <c r="AM29" s="261" t="e">
        <v>#DIV/0!</v>
      </c>
      <c r="AN29" s="308" t="e">
        <v>#DIV/0!</v>
      </c>
      <c r="AO29" s="260"/>
      <c r="AP29" s="260"/>
      <c r="AQ29" s="269" t="s">
        <v>4</v>
      </c>
      <c r="AR29" s="270">
        <v>164227661</v>
      </c>
      <c r="AS29" s="270">
        <v>96491379</v>
      </c>
      <c r="AT29" s="575">
        <v>0.34899999999999998</v>
      </c>
      <c r="AU29" s="576">
        <v>0.28699999999999998</v>
      </c>
      <c r="AV29" s="577">
        <v>0.247</v>
      </c>
      <c r="AW29" s="578">
        <v>0.217</v>
      </c>
      <c r="AX29" s="579">
        <v>0.192</v>
      </c>
      <c r="AY29" s="560">
        <v>0.17100000000000001</v>
      </c>
      <c r="AZ29" s="533">
        <v>0.14899999999999999</v>
      </c>
      <c r="BA29" s="580">
        <v>0.121</v>
      </c>
      <c r="BB29" s="549">
        <v>0.08</v>
      </c>
      <c r="BC29" s="500">
        <v>0.02</v>
      </c>
      <c r="BD29" s="562">
        <v>0.22</v>
      </c>
      <c r="BE29" s="261" t="e">
        <v>#DIV/0!</v>
      </c>
      <c r="BF29" s="261" t="e">
        <v>#DIV/0!</v>
      </c>
      <c r="BG29" s="261" t="e">
        <v>#DIV/0!</v>
      </c>
      <c r="BH29" s="261" t="e">
        <v>#DIV/0!</v>
      </c>
      <c r="BI29" s="308" t="e">
        <v>#DIV/0!</v>
      </c>
      <c r="BJ29" s="260"/>
      <c r="BK29" s="260"/>
      <c r="BL29" s="269" t="s">
        <v>4</v>
      </c>
      <c r="BM29" s="270">
        <v>164227661</v>
      </c>
      <c r="BN29" s="270">
        <v>96491379</v>
      </c>
      <c r="BO29" s="560">
        <v>0.36</v>
      </c>
      <c r="BP29" s="561">
        <v>0.29299999999999998</v>
      </c>
      <c r="BQ29" s="581">
        <v>0.249</v>
      </c>
      <c r="BR29" s="532">
        <v>0.216</v>
      </c>
      <c r="BS29" s="520">
        <v>0.191</v>
      </c>
      <c r="BT29" s="490">
        <v>0.16800000000000001</v>
      </c>
      <c r="BU29" s="510">
        <v>0.14399999999999999</v>
      </c>
      <c r="BV29" s="511">
        <v>0.11600000000000001</v>
      </c>
      <c r="BW29" s="582">
        <v>7.4999999999999997E-2</v>
      </c>
      <c r="BX29" s="500">
        <v>1.4999999999999999E-2</v>
      </c>
      <c r="BY29" s="517">
        <v>0.33700000000000002</v>
      </c>
      <c r="BZ29" s="500">
        <v>1.4999999999999999E-2</v>
      </c>
      <c r="CA29" s="500">
        <v>1.4999999999999999E-2</v>
      </c>
      <c r="CB29" s="500">
        <v>1.4999999999999999E-2</v>
      </c>
      <c r="CC29" s="500">
        <v>1.4999999999999999E-2</v>
      </c>
      <c r="CD29" s="308" t="e">
        <v>#DIV/0!</v>
      </c>
    </row>
    <row r="30" spans="1:82" x14ac:dyDescent="0.2">
      <c r="A30" s="260"/>
      <c r="B30" s="14" t="s">
        <v>5</v>
      </c>
      <c r="C30" s="2">
        <v>407962628.09385109</v>
      </c>
      <c r="D30" s="2">
        <v>187745917.65696079</v>
      </c>
      <c r="E30" s="59">
        <v>0.16202286577943509</v>
      </c>
      <c r="F30" s="59">
        <v>0.15986366053946408</v>
      </c>
      <c r="G30" s="59">
        <v>0.15837151067490818</v>
      </c>
      <c r="H30" s="59">
        <v>0.15753632046037386</v>
      </c>
      <c r="I30" s="59">
        <v>0.15738276527559056</v>
      </c>
      <c r="J30" s="59">
        <v>0.1579708253960565</v>
      </c>
      <c r="K30" s="59">
        <v>0.15938058740649977</v>
      </c>
      <c r="L30" s="59">
        <v>0.16159088028757565</v>
      </c>
      <c r="M30" s="59">
        <v>0.16330891774694828</v>
      </c>
      <c r="N30" s="59">
        <v>0.14313032066476908</v>
      </c>
      <c r="O30" s="59" t="e">
        <v>#DIV/0!</v>
      </c>
      <c r="P30" s="59" t="e">
        <v>#DIV/0!</v>
      </c>
      <c r="Q30" s="59" t="e">
        <v>#DIV/0!</v>
      </c>
      <c r="R30" s="59" t="e">
        <v>#DIV/0!</v>
      </c>
      <c r="S30" s="59" t="e">
        <v>#DIV/0!</v>
      </c>
      <c r="T30" s="61" t="e">
        <v>#DIV/0!</v>
      </c>
      <c r="U30" s="283"/>
      <c r="V30" s="269" t="s">
        <v>5</v>
      </c>
      <c r="W30" s="270">
        <v>407962628</v>
      </c>
      <c r="X30" s="270">
        <v>187745918</v>
      </c>
      <c r="Y30" s="532">
        <v>0.16600000000000001</v>
      </c>
      <c r="Z30" s="520">
        <v>0.16300000000000001</v>
      </c>
      <c r="AA30" s="520">
        <v>0.161</v>
      </c>
      <c r="AB30" s="520">
        <v>0.159</v>
      </c>
      <c r="AC30" s="533">
        <v>0.159</v>
      </c>
      <c r="AD30" s="533">
        <v>0.159</v>
      </c>
      <c r="AE30" s="520">
        <v>0.159</v>
      </c>
      <c r="AF30" s="520">
        <v>0.16</v>
      </c>
      <c r="AG30" s="533">
        <v>0.159</v>
      </c>
      <c r="AH30" s="583">
        <v>0.13200000000000001</v>
      </c>
      <c r="AI30" s="500">
        <v>2.3E-2</v>
      </c>
      <c r="AJ30" s="261" t="e">
        <v>#DIV/0!</v>
      </c>
      <c r="AK30" s="261" t="e">
        <v>#DIV/0!</v>
      </c>
      <c r="AL30" s="261" t="e">
        <v>#DIV/0!</v>
      </c>
      <c r="AM30" s="261" t="e">
        <v>#DIV/0!</v>
      </c>
      <c r="AN30" s="308" t="e">
        <v>#DIV/0!</v>
      </c>
      <c r="AO30" s="260"/>
      <c r="AP30" s="260"/>
      <c r="AQ30" s="269" t="s">
        <v>5</v>
      </c>
      <c r="AR30" s="270">
        <v>407962628</v>
      </c>
      <c r="AS30" s="270">
        <v>187745918</v>
      </c>
      <c r="AT30" s="553">
        <v>0.16700000000000001</v>
      </c>
      <c r="AU30" s="561">
        <v>0.16400000000000001</v>
      </c>
      <c r="AV30" s="518">
        <v>0.161</v>
      </c>
      <c r="AW30" s="524">
        <v>0.16</v>
      </c>
      <c r="AX30" s="524">
        <v>0.159</v>
      </c>
      <c r="AY30" s="524">
        <v>0.159</v>
      </c>
      <c r="AZ30" s="524">
        <v>0.159</v>
      </c>
      <c r="BA30" s="524">
        <v>0.16</v>
      </c>
      <c r="BB30" s="581">
        <v>0.158</v>
      </c>
      <c r="BC30" s="521">
        <v>0.128</v>
      </c>
      <c r="BD30" s="500">
        <v>0.02</v>
      </c>
      <c r="BE30" s="261" t="e">
        <v>#DIV/0!</v>
      </c>
      <c r="BF30" s="261" t="e">
        <v>#DIV/0!</v>
      </c>
      <c r="BG30" s="261" t="e">
        <v>#DIV/0!</v>
      </c>
      <c r="BH30" s="261" t="e">
        <v>#DIV/0!</v>
      </c>
      <c r="BI30" s="308" t="e">
        <v>#DIV/0!</v>
      </c>
      <c r="BJ30" s="260"/>
      <c r="BK30" s="260"/>
      <c r="BL30" s="269" t="s">
        <v>5</v>
      </c>
      <c r="BM30" s="270">
        <v>407962628</v>
      </c>
      <c r="BN30" s="270">
        <v>187745918</v>
      </c>
      <c r="BO30" s="490">
        <v>0.16900000000000001</v>
      </c>
      <c r="BP30" s="490">
        <v>0.16500000000000001</v>
      </c>
      <c r="BQ30" s="490">
        <v>0.16300000000000001</v>
      </c>
      <c r="BR30" s="490">
        <v>0.161</v>
      </c>
      <c r="BS30" s="490">
        <v>0.16</v>
      </c>
      <c r="BT30" s="490">
        <v>0.159</v>
      </c>
      <c r="BU30" s="509">
        <v>0.159</v>
      </c>
      <c r="BV30" s="509">
        <v>0.159</v>
      </c>
      <c r="BW30" s="509">
        <v>0.155</v>
      </c>
      <c r="BX30" s="511">
        <v>0.122</v>
      </c>
      <c r="BY30" s="500">
        <v>1.4999999999999999E-2</v>
      </c>
      <c r="BZ30" s="500">
        <v>1.4999999999999999E-2</v>
      </c>
      <c r="CA30" s="500">
        <v>1.4999999999999999E-2</v>
      </c>
      <c r="CB30" s="511">
        <v>0.12</v>
      </c>
      <c r="CC30" s="500">
        <v>1.4999999999999999E-2</v>
      </c>
      <c r="CD30" s="308" t="e">
        <v>#DIV/0!</v>
      </c>
    </row>
    <row r="31" spans="1:82" x14ac:dyDescent="0.2">
      <c r="A31" s="260"/>
      <c r="B31" s="14" t="s">
        <v>6</v>
      </c>
      <c r="C31" s="2">
        <v>295355339.6784091</v>
      </c>
      <c r="D31" s="2">
        <v>30753929.338460058</v>
      </c>
      <c r="E31" s="59">
        <v>4.5710888342265187E-2</v>
      </c>
      <c r="F31" s="59">
        <v>4.7024946970223809E-2</v>
      </c>
      <c r="G31" s="59">
        <v>4.8446625258139336E-2</v>
      </c>
      <c r="H31" s="59">
        <v>4.9980931191231613E-2</v>
      </c>
      <c r="I31" s="59">
        <v>5.1626068818088365E-2</v>
      </c>
      <c r="J31" s="59">
        <v>5.3360270588688613E-2</v>
      </c>
      <c r="K31" s="59">
        <v>5.5100977410796434E-2</v>
      </c>
      <c r="L31" s="59">
        <v>5.6554879905343802E-2</v>
      </c>
      <c r="M31" s="59">
        <v>5.6413201322243707E-2</v>
      </c>
      <c r="N31" s="59">
        <v>4.3814371332567638E-2</v>
      </c>
      <c r="O31" s="59" t="e">
        <v>#DIV/0!</v>
      </c>
      <c r="P31" s="59" t="e">
        <v>#DIV/0!</v>
      </c>
      <c r="Q31" s="59" t="e">
        <v>#DIV/0!</v>
      </c>
      <c r="R31" s="59" t="e">
        <v>#DIV/0!</v>
      </c>
      <c r="S31" s="59" t="e">
        <v>#DIV/0!</v>
      </c>
      <c r="T31" s="61" t="e">
        <v>#DIV/0!</v>
      </c>
      <c r="U31" s="283"/>
      <c r="V31" s="269" t="s">
        <v>6</v>
      </c>
      <c r="W31" s="270">
        <v>295355340</v>
      </c>
      <c r="X31" s="270">
        <v>30753929</v>
      </c>
      <c r="Y31" s="584">
        <v>0.04</v>
      </c>
      <c r="Z31" s="585">
        <v>4.2000000000000003E-2</v>
      </c>
      <c r="AA31" s="586">
        <v>4.3999999999999997E-2</v>
      </c>
      <c r="AB31" s="515">
        <v>4.7E-2</v>
      </c>
      <c r="AC31" s="587">
        <v>0.05</v>
      </c>
      <c r="AD31" s="556">
        <v>5.2999999999999999E-2</v>
      </c>
      <c r="AE31" s="588">
        <v>5.7000000000000002E-2</v>
      </c>
      <c r="AF31" s="589">
        <v>6.0999999999999999E-2</v>
      </c>
      <c r="AG31" s="590">
        <v>6.4000000000000001E-2</v>
      </c>
      <c r="AH31" s="591">
        <v>5.5E-2</v>
      </c>
      <c r="AI31" s="500">
        <v>2.3E-2</v>
      </c>
      <c r="AJ31" s="261" t="e">
        <v>#DIV/0!</v>
      </c>
      <c r="AK31" s="261" t="e">
        <v>#DIV/0!</v>
      </c>
      <c r="AL31" s="261" t="e">
        <v>#DIV/0!</v>
      </c>
      <c r="AM31" s="261" t="e">
        <v>#DIV/0!</v>
      </c>
      <c r="AN31" s="308" t="e">
        <v>#DIV/0!</v>
      </c>
      <c r="AO31" s="260"/>
      <c r="AP31" s="260"/>
      <c r="AQ31" s="269" t="s">
        <v>6</v>
      </c>
      <c r="AR31" s="270">
        <v>295355340</v>
      </c>
      <c r="AS31" s="270">
        <v>30753929</v>
      </c>
      <c r="AT31" s="584">
        <v>3.6999999999999998E-2</v>
      </c>
      <c r="AU31" s="497">
        <v>0.04</v>
      </c>
      <c r="AV31" s="586">
        <v>4.2999999999999997E-2</v>
      </c>
      <c r="AW31" s="515">
        <v>4.5999999999999999E-2</v>
      </c>
      <c r="AX31" s="557">
        <v>4.9000000000000002E-2</v>
      </c>
      <c r="AY31" s="592">
        <v>5.2999999999999999E-2</v>
      </c>
      <c r="AZ31" s="593">
        <v>5.8000000000000003E-2</v>
      </c>
      <c r="BA31" s="594">
        <v>6.3E-2</v>
      </c>
      <c r="BB31" s="595">
        <v>6.7000000000000004E-2</v>
      </c>
      <c r="BC31" s="496">
        <v>5.8000000000000003E-2</v>
      </c>
      <c r="BD31" s="500">
        <v>0.02</v>
      </c>
      <c r="BE31" s="261" t="e">
        <v>#DIV/0!</v>
      </c>
      <c r="BF31" s="261" t="e">
        <v>#DIV/0!</v>
      </c>
      <c r="BG31" s="261" t="e">
        <v>#DIV/0!</v>
      </c>
      <c r="BH31" s="261" t="e">
        <v>#DIV/0!</v>
      </c>
      <c r="BI31" s="308" t="e">
        <v>#DIV/0!</v>
      </c>
      <c r="BJ31" s="260"/>
      <c r="BK31" s="260"/>
      <c r="BL31" s="269" t="s">
        <v>6</v>
      </c>
      <c r="BM31" s="270">
        <v>295355340</v>
      </c>
      <c r="BN31" s="270">
        <v>30753929</v>
      </c>
      <c r="BO31" s="499">
        <v>3.3000000000000002E-2</v>
      </c>
      <c r="BP31" s="557">
        <v>3.5999999999999997E-2</v>
      </c>
      <c r="BQ31" s="591">
        <v>0.04</v>
      </c>
      <c r="BR31" s="596">
        <v>4.3999999999999997E-2</v>
      </c>
      <c r="BS31" s="597">
        <v>4.9000000000000002E-2</v>
      </c>
      <c r="BT31" s="523">
        <v>5.3999999999999999E-2</v>
      </c>
      <c r="BU31" s="598">
        <v>0.06</v>
      </c>
      <c r="BV31" s="599">
        <v>6.6000000000000003E-2</v>
      </c>
      <c r="BW31" s="600">
        <v>7.1999999999999995E-2</v>
      </c>
      <c r="BX31" s="601">
        <v>6.3E-2</v>
      </c>
      <c r="BY31" s="500">
        <v>1.4999999999999999E-2</v>
      </c>
      <c r="BZ31" s="500">
        <v>1.4999999999999999E-2</v>
      </c>
      <c r="CA31" s="564">
        <v>0.56299999999999994</v>
      </c>
      <c r="CB31" s="500">
        <v>1.4999999999999999E-2</v>
      </c>
      <c r="CC31" s="500">
        <v>1.4999999999999999E-2</v>
      </c>
      <c r="CD31" s="308" t="e">
        <v>#DIV/0!</v>
      </c>
    </row>
    <row r="32" spans="1:82" x14ac:dyDescent="0.2">
      <c r="A32" s="260"/>
      <c r="B32" s="14" t="s">
        <v>7</v>
      </c>
      <c r="C32" s="2">
        <v>328852284.24685562</v>
      </c>
      <c r="D32" s="2">
        <v>133280715.93843317</v>
      </c>
      <c r="E32" s="59">
        <v>0.17390778499348672</v>
      </c>
      <c r="F32" s="59">
        <v>0.16936689581234268</v>
      </c>
      <c r="G32" s="59">
        <v>0.16574621703757234</v>
      </c>
      <c r="H32" s="59">
        <v>0.16290479732692995</v>
      </c>
      <c r="I32" s="59">
        <v>0.16072376464444052</v>
      </c>
      <c r="J32" s="59">
        <v>0.15906420113033864</v>
      </c>
      <c r="K32" s="59">
        <v>0.15765535314241924</v>
      </c>
      <c r="L32" s="59">
        <v>0.1556840238343381</v>
      </c>
      <c r="M32" s="59">
        <v>0.14940241478508037</v>
      </c>
      <c r="N32" s="59">
        <v>0.10417065465058721</v>
      </c>
      <c r="O32" s="59" t="e">
        <v>#DIV/0!</v>
      </c>
      <c r="P32" s="59" t="e">
        <v>#DIV/0!</v>
      </c>
      <c r="Q32" s="59" t="e">
        <v>#DIV/0!</v>
      </c>
      <c r="R32" s="59" t="e">
        <v>#DIV/0!</v>
      </c>
      <c r="S32" s="59" t="e">
        <v>#DIV/0!</v>
      </c>
      <c r="T32" s="61" t="e">
        <v>#DIV/0!</v>
      </c>
      <c r="U32" s="283"/>
      <c r="V32" s="269" t="s">
        <v>7</v>
      </c>
      <c r="W32" s="270">
        <v>328852284</v>
      </c>
      <c r="X32" s="270">
        <v>133280716</v>
      </c>
      <c r="Y32" s="554">
        <v>0.17799999999999999</v>
      </c>
      <c r="Z32" s="519">
        <v>0.17299999999999999</v>
      </c>
      <c r="AA32" s="501">
        <v>0.16800000000000001</v>
      </c>
      <c r="AB32" s="532">
        <v>0.16500000000000001</v>
      </c>
      <c r="AC32" s="520">
        <v>0.16200000000000001</v>
      </c>
      <c r="AD32" s="520">
        <v>0.159</v>
      </c>
      <c r="AE32" s="533">
        <v>0.157</v>
      </c>
      <c r="AF32" s="490">
        <v>0.153</v>
      </c>
      <c r="AG32" s="510">
        <v>0.14399999999999999</v>
      </c>
      <c r="AH32" s="494">
        <v>9.1999999999999998E-2</v>
      </c>
      <c r="AI32" s="500">
        <v>2.3E-2</v>
      </c>
      <c r="AJ32" s="261" t="e">
        <v>#DIV/0!</v>
      </c>
      <c r="AK32" s="261" t="e">
        <v>#DIV/0!</v>
      </c>
      <c r="AL32" s="261" t="e">
        <v>#DIV/0!</v>
      </c>
      <c r="AM32" s="261" t="e">
        <v>#DIV/0!</v>
      </c>
      <c r="AN32" s="308" t="e">
        <v>#DIV/0!</v>
      </c>
      <c r="AO32" s="260"/>
      <c r="AP32" s="260"/>
      <c r="AQ32" s="269" t="s">
        <v>7</v>
      </c>
      <c r="AR32" s="270">
        <v>328852284</v>
      </c>
      <c r="AS32" s="270">
        <v>133280716</v>
      </c>
      <c r="AT32" s="602">
        <v>0.18</v>
      </c>
      <c r="AU32" s="527">
        <v>0.17399999999999999</v>
      </c>
      <c r="AV32" s="517">
        <v>0.16900000000000001</v>
      </c>
      <c r="AW32" s="571">
        <v>0.16500000000000001</v>
      </c>
      <c r="AX32" s="518">
        <v>0.16200000000000001</v>
      </c>
      <c r="AY32" s="524">
        <v>0.159</v>
      </c>
      <c r="AZ32" s="519">
        <v>0.157</v>
      </c>
      <c r="BA32" s="532">
        <v>0.152</v>
      </c>
      <c r="BB32" s="511">
        <v>0.14199999999999999</v>
      </c>
      <c r="BC32" s="603">
        <v>8.8999999999999996E-2</v>
      </c>
      <c r="BD32" s="500">
        <v>0.02</v>
      </c>
      <c r="BE32" s="261" t="e">
        <v>#DIV/0!</v>
      </c>
      <c r="BF32" s="261" t="e">
        <v>#DIV/0!</v>
      </c>
      <c r="BG32" s="261" t="e">
        <v>#DIV/0!</v>
      </c>
      <c r="BH32" s="261" t="e">
        <v>#DIV/0!</v>
      </c>
      <c r="BI32" s="308" t="e">
        <v>#DIV/0!</v>
      </c>
      <c r="BJ32" s="260"/>
      <c r="BK32" s="260"/>
      <c r="BL32" s="269" t="s">
        <v>7</v>
      </c>
      <c r="BM32" s="270">
        <v>328852284</v>
      </c>
      <c r="BN32" s="270">
        <v>133280716</v>
      </c>
      <c r="BO32" s="533">
        <v>0.183</v>
      </c>
      <c r="BP32" s="533">
        <v>0.17599999999999999</v>
      </c>
      <c r="BQ32" s="490">
        <v>0.17100000000000001</v>
      </c>
      <c r="BR32" s="490">
        <v>0.16600000000000001</v>
      </c>
      <c r="BS32" s="490">
        <v>0.16300000000000001</v>
      </c>
      <c r="BT32" s="490">
        <v>0.159</v>
      </c>
      <c r="BU32" s="509">
        <v>0.156</v>
      </c>
      <c r="BV32" s="534">
        <v>0.151</v>
      </c>
      <c r="BW32" s="510">
        <v>0.13800000000000001</v>
      </c>
      <c r="BX32" s="604">
        <v>8.4000000000000005E-2</v>
      </c>
      <c r="BY32" s="500">
        <v>1.4999999999999999E-2</v>
      </c>
      <c r="BZ32" s="500">
        <v>1.4999999999999999E-2</v>
      </c>
      <c r="CA32" s="491">
        <v>0.10199999999999999</v>
      </c>
      <c r="CB32" s="500">
        <v>1.4999999999999999E-2</v>
      </c>
      <c r="CC32" s="500">
        <v>1.4999999999999999E-2</v>
      </c>
      <c r="CD32" s="308" t="e">
        <v>#DIV/0!</v>
      </c>
    </row>
    <row r="33" spans="1:82" x14ac:dyDescent="0.2">
      <c r="A33" s="260"/>
      <c r="B33" s="14" t="s">
        <v>8</v>
      </c>
      <c r="C33" s="2">
        <v>910487338.83586597</v>
      </c>
      <c r="D33" s="2">
        <v>321724913.92231131</v>
      </c>
      <c r="E33" s="59">
        <v>9.8143647296644182E-2</v>
      </c>
      <c r="F33" s="59">
        <v>0.10172071269328049</v>
      </c>
      <c r="G33" s="59">
        <v>0.10565764942338243</v>
      </c>
      <c r="H33" s="59">
        <v>0.11009551781967719</v>
      </c>
      <c r="I33" s="59">
        <v>0.11526108051416165</v>
      </c>
      <c r="J33" s="59">
        <v>0.12154390348590312</v>
      </c>
      <c r="K33" s="59">
        <v>0.12968118757692421</v>
      </c>
      <c r="L33" s="59">
        <v>0.14129443038416589</v>
      </c>
      <c r="M33" s="59">
        <v>0.16089143723290888</v>
      </c>
      <c r="N33" s="59">
        <v>0.20817578327909952</v>
      </c>
      <c r="O33" s="59" t="e">
        <v>#DIV/0!</v>
      </c>
      <c r="P33" s="59" t="e">
        <v>#DIV/0!</v>
      </c>
      <c r="Q33" s="59" t="e">
        <v>#DIV/0!</v>
      </c>
      <c r="R33" s="59" t="e">
        <v>#DIV/0!</v>
      </c>
      <c r="S33" s="59" t="e">
        <v>#DIV/0!</v>
      </c>
      <c r="T33" s="61" t="e">
        <v>#DIV/0!</v>
      </c>
      <c r="U33" s="283"/>
      <c r="V33" s="269" t="s">
        <v>8</v>
      </c>
      <c r="W33" s="270">
        <v>910487339</v>
      </c>
      <c r="X33" s="270">
        <v>321724914</v>
      </c>
      <c r="Y33" s="605">
        <v>9.6000000000000002E-2</v>
      </c>
      <c r="Z33" s="555">
        <v>0.1</v>
      </c>
      <c r="AA33" s="504">
        <v>0.105</v>
      </c>
      <c r="AB33" s="606">
        <v>0.11</v>
      </c>
      <c r="AC33" s="607">
        <v>0.11600000000000001</v>
      </c>
      <c r="AD33" s="492">
        <v>0.123</v>
      </c>
      <c r="AE33" s="583">
        <v>0.13200000000000001</v>
      </c>
      <c r="AF33" s="510">
        <v>0.14399999999999999</v>
      </c>
      <c r="AG33" s="532">
        <v>0.16400000000000001</v>
      </c>
      <c r="AH33" s="608">
        <v>0.21</v>
      </c>
      <c r="AI33" s="500">
        <v>2.3E-2</v>
      </c>
      <c r="AJ33" s="261" t="e">
        <v>#DIV/0!</v>
      </c>
      <c r="AK33" s="261" t="e">
        <v>#DIV/0!</v>
      </c>
      <c r="AL33" s="261" t="e">
        <v>#DIV/0!</v>
      </c>
      <c r="AM33" s="261" t="e">
        <v>#DIV/0!</v>
      </c>
      <c r="AN33" s="308" t="e">
        <v>#DIV/0!</v>
      </c>
      <c r="AO33" s="260"/>
      <c r="AP33" s="260"/>
      <c r="AQ33" s="269" t="s">
        <v>8</v>
      </c>
      <c r="AR33" s="270">
        <v>910487339</v>
      </c>
      <c r="AS33" s="270">
        <v>321724914</v>
      </c>
      <c r="AT33" s="609">
        <v>9.6000000000000002E-2</v>
      </c>
      <c r="AU33" s="512">
        <v>0.1</v>
      </c>
      <c r="AV33" s="610">
        <v>0.105</v>
      </c>
      <c r="AW33" s="493">
        <v>0.11</v>
      </c>
      <c r="AX33" s="611">
        <v>0.11600000000000001</v>
      </c>
      <c r="AY33" s="612">
        <v>0.123</v>
      </c>
      <c r="AZ33" s="613">
        <v>0.13200000000000001</v>
      </c>
      <c r="BA33" s="534">
        <v>0.14499999999999999</v>
      </c>
      <c r="BB33" s="614">
        <v>0.16400000000000001</v>
      </c>
      <c r="BC33" s="615">
        <v>0.21</v>
      </c>
      <c r="BD33" s="500">
        <v>0.02</v>
      </c>
      <c r="BE33" s="261" t="e">
        <v>#DIV/0!</v>
      </c>
      <c r="BF33" s="261" t="e">
        <v>#DIV/0!</v>
      </c>
      <c r="BG33" s="261" t="e">
        <v>#DIV/0!</v>
      </c>
      <c r="BH33" s="261" t="e">
        <v>#DIV/0!</v>
      </c>
      <c r="BI33" s="308" t="e">
        <v>#DIV/0!</v>
      </c>
      <c r="BJ33" s="260"/>
      <c r="BK33" s="260"/>
      <c r="BL33" s="269" t="s">
        <v>8</v>
      </c>
      <c r="BM33" s="270">
        <v>910487339</v>
      </c>
      <c r="BN33" s="270">
        <v>321724914</v>
      </c>
      <c r="BO33" s="616">
        <v>9.5000000000000001E-2</v>
      </c>
      <c r="BP33" s="583">
        <v>9.9000000000000005E-2</v>
      </c>
      <c r="BQ33" s="491">
        <v>0.104</v>
      </c>
      <c r="BR33" s="491">
        <v>0.11</v>
      </c>
      <c r="BS33" s="511">
        <v>0.11700000000000001</v>
      </c>
      <c r="BT33" s="511">
        <v>0.124</v>
      </c>
      <c r="BU33" s="510">
        <v>0.13300000000000001</v>
      </c>
      <c r="BV33" s="534">
        <v>0.14599999999999999</v>
      </c>
      <c r="BW33" s="490">
        <v>0.16600000000000001</v>
      </c>
      <c r="BX33" s="532">
        <v>0.21</v>
      </c>
      <c r="BY33" s="500">
        <v>1.4999999999999999E-2</v>
      </c>
      <c r="BZ33" s="500">
        <v>1.4999999999999999E-2</v>
      </c>
      <c r="CA33" s="500">
        <v>1.4999999999999999E-2</v>
      </c>
      <c r="CB33" s="500">
        <v>1.4999999999999999E-2</v>
      </c>
      <c r="CC33" s="501">
        <v>0.22600000000000001</v>
      </c>
      <c r="CD33" s="308" t="e">
        <v>#DIV/0!</v>
      </c>
    </row>
    <row r="34" spans="1:82" x14ac:dyDescent="0.2">
      <c r="A34" s="260"/>
      <c r="B34" s="14" t="s">
        <v>9</v>
      </c>
      <c r="C34" s="2">
        <v>92705416.600463837</v>
      </c>
      <c r="D34" s="2">
        <v>27802727.782648683</v>
      </c>
      <c r="E34" s="59">
        <v>0.21008225018187024</v>
      </c>
      <c r="F34" s="59">
        <v>0.18502023359252015</v>
      </c>
      <c r="G34" s="59">
        <v>0.16373891384309097</v>
      </c>
      <c r="H34" s="59">
        <v>0.14434614912980653</v>
      </c>
      <c r="I34" s="59">
        <v>0.12535729461715114</v>
      </c>
      <c r="J34" s="59">
        <v>0.10537475083735924</v>
      </c>
      <c r="K34" s="59">
        <v>8.2904814898783041E-2</v>
      </c>
      <c r="L34" s="59">
        <v>5.6565079899820875E-2</v>
      </c>
      <c r="M34" s="59">
        <v>0.03</v>
      </c>
      <c r="N34" s="59">
        <v>0.03</v>
      </c>
      <c r="O34" s="59" t="e">
        <v>#DIV/0!</v>
      </c>
      <c r="P34" s="59" t="e">
        <v>#DIV/0!</v>
      </c>
      <c r="Q34" s="59" t="e">
        <v>#DIV/0!</v>
      </c>
      <c r="R34" s="59" t="e">
        <v>#DIV/0!</v>
      </c>
      <c r="S34" s="59" t="e">
        <v>#DIV/0!</v>
      </c>
      <c r="T34" s="61" t="e">
        <v>#DIV/0!</v>
      </c>
      <c r="U34" s="283"/>
      <c r="V34" s="269" t="s">
        <v>9</v>
      </c>
      <c r="W34" s="270">
        <v>92705417</v>
      </c>
      <c r="X34" s="270">
        <v>27802728</v>
      </c>
      <c r="Y34" s="559">
        <v>0.218</v>
      </c>
      <c r="Z34" s="561">
        <v>0.189</v>
      </c>
      <c r="AA34" s="532">
        <v>0.16400000000000001</v>
      </c>
      <c r="AB34" s="510">
        <v>0.14299999999999999</v>
      </c>
      <c r="AC34" s="617">
        <v>0.123</v>
      </c>
      <c r="AD34" s="618">
        <v>0.10100000000000001</v>
      </c>
      <c r="AE34" s="619">
        <v>7.9000000000000001E-2</v>
      </c>
      <c r="AF34" s="556">
        <v>5.2999999999999999E-2</v>
      </c>
      <c r="AG34" s="498">
        <v>0.03</v>
      </c>
      <c r="AH34" s="620">
        <v>4.5999999999999999E-2</v>
      </c>
      <c r="AI34" s="500">
        <v>2.3E-2</v>
      </c>
      <c r="AJ34" s="261" t="e">
        <v>#DIV/0!</v>
      </c>
      <c r="AK34" s="261" t="e">
        <v>#DIV/0!</v>
      </c>
      <c r="AL34" s="261" t="e">
        <v>#DIV/0!</v>
      </c>
      <c r="AM34" s="261" t="e">
        <v>#DIV/0!</v>
      </c>
      <c r="AN34" s="308" t="e">
        <v>#DIV/0!</v>
      </c>
      <c r="AO34" s="260"/>
      <c r="AP34" s="260"/>
      <c r="AQ34" s="269" t="s">
        <v>9</v>
      </c>
      <c r="AR34" s="270">
        <v>92705417</v>
      </c>
      <c r="AS34" s="270">
        <v>27802728</v>
      </c>
      <c r="AT34" s="621">
        <v>0.22</v>
      </c>
      <c r="AU34" s="570">
        <v>0.19</v>
      </c>
      <c r="AV34" s="571">
        <v>0.16500000000000001</v>
      </c>
      <c r="AW34" s="510">
        <v>0.14299999999999999</v>
      </c>
      <c r="AX34" s="622">
        <v>0.122</v>
      </c>
      <c r="AY34" s="512">
        <v>0.1</v>
      </c>
      <c r="AZ34" s="513">
        <v>7.6999999999999999E-2</v>
      </c>
      <c r="BA34" s="556">
        <v>5.2999999999999999E-2</v>
      </c>
      <c r="BB34" s="508">
        <v>3.1E-2</v>
      </c>
      <c r="BC34" s="623">
        <v>4.8000000000000001E-2</v>
      </c>
      <c r="BD34" s="500">
        <v>0.02</v>
      </c>
      <c r="BE34" s="261" t="e">
        <v>#DIV/0!</v>
      </c>
      <c r="BF34" s="261" t="e">
        <v>#DIV/0!</v>
      </c>
      <c r="BG34" s="261" t="e">
        <v>#DIV/0!</v>
      </c>
      <c r="BH34" s="261" t="e">
        <v>#DIV/0!</v>
      </c>
      <c r="BI34" s="308" t="e">
        <v>#DIV/0!</v>
      </c>
      <c r="BJ34" s="260"/>
      <c r="BK34" s="260"/>
      <c r="BL34" s="269" t="s">
        <v>9</v>
      </c>
      <c r="BM34" s="270">
        <v>92705417</v>
      </c>
      <c r="BN34" s="270">
        <v>27802728</v>
      </c>
      <c r="BO34" s="501">
        <v>0.22500000000000001</v>
      </c>
      <c r="BP34" s="520">
        <v>0.192</v>
      </c>
      <c r="BQ34" s="490">
        <v>0.16500000000000001</v>
      </c>
      <c r="BR34" s="510">
        <v>0.14099999999999999</v>
      </c>
      <c r="BS34" s="511">
        <v>0.12</v>
      </c>
      <c r="BT34" s="613">
        <v>9.8000000000000004E-2</v>
      </c>
      <c r="BU34" s="582">
        <v>7.4999999999999997E-2</v>
      </c>
      <c r="BV34" s="624">
        <v>5.0999999999999997E-2</v>
      </c>
      <c r="BW34" s="499">
        <v>3.3000000000000002E-2</v>
      </c>
      <c r="BX34" s="595">
        <v>0.05</v>
      </c>
      <c r="BY34" s="500">
        <v>1.4999999999999999E-2</v>
      </c>
      <c r="BZ34" s="588">
        <v>4.2000000000000003E-2</v>
      </c>
      <c r="CA34" s="500">
        <v>1.4999999999999999E-2</v>
      </c>
      <c r="CB34" s="543">
        <v>2.343</v>
      </c>
      <c r="CC34" s="500">
        <v>1.4999999999999999E-2</v>
      </c>
      <c r="CD34" s="308" t="e">
        <v>#DIV/0!</v>
      </c>
    </row>
    <row r="35" spans="1:82" x14ac:dyDescent="0.2">
      <c r="A35" s="260"/>
      <c r="B35" s="14" t="s">
        <v>10</v>
      </c>
      <c r="C35" s="2">
        <v>1243404655.6066542</v>
      </c>
      <c r="D35" s="2">
        <v>110876434.4409368</v>
      </c>
      <c r="E35" s="59">
        <v>4.955837959360182E-2</v>
      </c>
      <c r="F35" s="59">
        <v>5.1575910176617924E-2</v>
      </c>
      <c r="G35" s="59">
        <v>5.3896673925906947E-2</v>
      </c>
      <c r="H35" s="59">
        <v>5.6611581440706771E-2</v>
      </c>
      <c r="I35" s="59">
        <v>5.986335927990534E-2</v>
      </c>
      <c r="J35" s="59">
        <v>6.3894002944325387E-2</v>
      </c>
      <c r="K35" s="59">
        <v>6.9159742085736831E-2</v>
      </c>
      <c r="L35" s="59">
        <v>7.6669724885287283E-2</v>
      </c>
      <c r="M35" s="59">
        <v>8.9317984883077378E-2</v>
      </c>
      <c r="N35" s="59">
        <v>0.12147088093660857</v>
      </c>
      <c r="O35" s="59" t="e">
        <v>#DIV/0!</v>
      </c>
      <c r="P35" s="59" t="e">
        <v>#DIV/0!</v>
      </c>
      <c r="Q35" s="59" t="e">
        <v>#DIV/0!</v>
      </c>
      <c r="R35" s="59" t="e">
        <v>#DIV/0!</v>
      </c>
      <c r="S35" s="59" t="e">
        <v>#DIV/0!</v>
      </c>
      <c r="T35" s="61" t="e">
        <v>#DIV/0!</v>
      </c>
      <c r="U35" s="283"/>
      <c r="V35" s="269" t="s">
        <v>10</v>
      </c>
      <c r="W35" s="270">
        <v>1243404656</v>
      </c>
      <c r="X35" s="270">
        <v>110876434</v>
      </c>
      <c r="Y35" s="586">
        <v>4.3999999999999997E-2</v>
      </c>
      <c r="Z35" s="499">
        <v>4.5999999999999999E-2</v>
      </c>
      <c r="AA35" s="625">
        <v>4.9000000000000002E-2</v>
      </c>
      <c r="AB35" s="556">
        <v>5.2999999999999999E-2</v>
      </c>
      <c r="AC35" s="588">
        <v>5.7000000000000002E-2</v>
      </c>
      <c r="AD35" s="626">
        <v>6.3E-2</v>
      </c>
      <c r="AE35" s="624">
        <v>7.0000000000000007E-2</v>
      </c>
      <c r="AF35" s="627">
        <v>0.08</v>
      </c>
      <c r="AG35" s="605">
        <v>9.6000000000000002E-2</v>
      </c>
      <c r="AH35" s="491">
        <v>0.13800000000000001</v>
      </c>
      <c r="AI35" s="500">
        <v>2.3E-2</v>
      </c>
      <c r="AJ35" s="261" t="e">
        <v>#DIV/0!</v>
      </c>
      <c r="AK35" s="261" t="e">
        <v>#DIV/0!</v>
      </c>
      <c r="AL35" s="261" t="e">
        <v>#DIV/0!</v>
      </c>
      <c r="AM35" s="261" t="e">
        <v>#DIV/0!</v>
      </c>
      <c r="AN35" s="308" t="e">
        <v>#DIV/0!</v>
      </c>
      <c r="AO35" s="260"/>
      <c r="AP35" s="260"/>
      <c r="AQ35" s="269" t="s">
        <v>10</v>
      </c>
      <c r="AR35" s="270">
        <v>1243404656</v>
      </c>
      <c r="AS35" s="270">
        <v>110876434</v>
      </c>
      <c r="AT35" s="507">
        <v>4.2000000000000003E-2</v>
      </c>
      <c r="AU35" s="499">
        <v>4.4999999999999998E-2</v>
      </c>
      <c r="AV35" s="623">
        <v>4.8000000000000001E-2</v>
      </c>
      <c r="AW35" s="556">
        <v>5.1999999999999998E-2</v>
      </c>
      <c r="AX35" s="588">
        <v>5.7000000000000002E-2</v>
      </c>
      <c r="AY35" s="628">
        <v>6.3E-2</v>
      </c>
      <c r="AZ35" s="629">
        <v>7.0000000000000007E-2</v>
      </c>
      <c r="BA35" s="598">
        <v>8.1000000000000003E-2</v>
      </c>
      <c r="BB35" s="630">
        <v>9.9000000000000005E-2</v>
      </c>
      <c r="BC35" s="510">
        <v>0.14299999999999999</v>
      </c>
      <c r="BD35" s="500">
        <v>0.02</v>
      </c>
      <c r="BE35" s="261" t="e">
        <v>#DIV/0!</v>
      </c>
      <c r="BF35" s="261" t="e">
        <v>#DIV/0!</v>
      </c>
      <c r="BG35" s="261" t="e">
        <v>#DIV/0!</v>
      </c>
      <c r="BH35" s="261" t="e">
        <v>#DIV/0!</v>
      </c>
      <c r="BI35" s="308" t="e">
        <v>#DIV/0!</v>
      </c>
      <c r="BJ35" s="260"/>
      <c r="BK35" s="260"/>
      <c r="BL35" s="269" t="s">
        <v>10</v>
      </c>
      <c r="BM35" s="270">
        <v>1243404656</v>
      </c>
      <c r="BN35" s="270">
        <v>110876434</v>
      </c>
      <c r="BO35" s="631">
        <v>3.7999999999999999E-2</v>
      </c>
      <c r="BP35" s="514">
        <v>4.1000000000000002E-2</v>
      </c>
      <c r="BQ35" s="632">
        <v>4.4999999999999998E-2</v>
      </c>
      <c r="BR35" s="633">
        <v>0.05</v>
      </c>
      <c r="BS35" s="506">
        <v>5.5E-2</v>
      </c>
      <c r="BT35" s="634">
        <v>6.2E-2</v>
      </c>
      <c r="BU35" s="600">
        <v>7.0999999999999994E-2</v>
      </c>
      <c r="BV35" s="635">
        <v>8.4000000000000005E-2</v>
      </c>
      <c r="BW35" s="491">
        <v>0.104</v>
      </c>
      <c r="BX35" s="509">
        <v>0.153</v>
      </c>
      <c r="BY35" s="500">
        <v>1.4999999999999999E-2</v>
      </c>
      <c r="BZ35" s="500">
        <v>1.4999999999999999E-2</v>
      </c>
      <c r="CA35" s="491">
        <v>0.10299999999999999</v>
      </c>
      <c r="CB35" s="500">
        <v>1.4999999999999999E-2</v>
      </c>
      <c r="CC35" s="500">
        <v>1.4999999999999999E-2</v>
      </c>
      <c r="CD35" s="308" t="e">
        <v>#DIV/0!</v>
      </c>
    </row>
    <row r="36" spans="1:82" x14ac:dyDescent="0.2">
      <c r="A36" s="260"/>
      <c r="B36" s="14" t="s">
        <v>11</v>
      </c>
      <c r="C36" s="2">
        <v>195405555.48763829</v>
      </c>
      <c r="D36" s="2">
        <v>75892247.402372122</v>
      </c>
      <c r="E36" s="59">
        <v>0.17130739560044089</v>
      </c>
      <c r="F36" s="59">
        <v>0.16435547569785364</v>
      </c>
      <c r="G36" s="59">
        <v>0.15814695644643309</v>
      </c>
      <c r="H36" s="59">
        <v>0.15233527924731</v>
      </c>
      <c r="I36" s="59">
        <v>0.1465127673087023</v>
      </c>
      <c r="J36" s="59">
        <v>0.14007409865708359</v>
      </c>
      <c r="K36" s="59">
        <v>0.13189439345327411</v>
      </c>
      <c r="L36" s="59">
        <v>0.11936665283796638</v>
      </c>
      <c r="M36" s="59">
        <v>9.4322451300177329E-2</v>
      </c>
      <c r="N36" s="59">
        <v>0.03</v>
      </c>
      <c r="O36" s="59" t="e">
        <v>#DIV/0!</v>
      </c>
      <c r="P36" s="59" t="e">
        <v>#DIV/0!</v>
      </c>
      <c r="Q36" s="59" t="e">
        <v>#DIV/0!</v>
      </c>
      <c r="R36" s="59" t="e">
        <v>#DIV/0!</v>
      </c>
      <c r="S36" s="59" t="e">
        <v>#DIV/0!</v>
      </c>
      <c r="T36" s="61" t="e">
        <v>#DIV/0!</v>
      </c>
      <c r="U36" s="283"/>
      <c r="V36" s="269" t="s">
        <v>11</v>
      </c>
      <c r="W36" s="270">
        <v>195405555</v>
      </c>
      <c r="X36" s="270">
        <v>75892247</v>
      </c>
      <c r="Y36" s="581">
        <v>0.17599999999999999</v>
      </c>
      <c r="Z36" s="532">
        <v>0.16700000000000001</v>
      </c>
      <c r="AA36" s="520">
        <v>0.16</v>
      </c>
      <c r="AB36" s="490">
        <v>0.153</v>
      </c>
      <c r="AC36" s="510">
        <v>0.14699999999999999</v>
      </c>
      <c r="AD36" s="511">
        <v>0.13900000000000001</v>
      </c>
      <c r="AE36" s="636">
        <v>0.13</v>
      </c>
      <c r="AF36" s="637">
        <v>0.11600000000000001</v>
      </c>
      <c r="AG36" s="599">
        <v>8.8999999999999996E-2</v>
      </c>
      <c r="AH36" s="500">
        <v>2.3E-2</v>
      </c>
      <c r="AI36" s="546">
        <v>0.29799999999999999</v>
      </c>
      <c r="AJ36" s="261" t="e">
        <v>#DIV/0!</v>
      </c>
      <c r="AK36" s="261" t="e">
        <v>#DIV/0!</v>
      </c>
      <c r="AL36" s="261" t="e">
        <v>#DIV/0!</v>
      </c>
      <c r="AM36" s="261" t="e">
        <v>#DIV/0!</v>
      </c>
      <c r="AN36" s="308" t="e">
        <v>#DIV/0!</v>
      </c>
      <c r="AO36" s="260"/>
      <c r="AP36" s="260"/>
      <c r="AQ36" s="269" t="s">
        <v>11</v>
      </c>
      <c r="AR36" s="270">
        <v>195405555</v>
      </c>
      <c r="AS36" s="270">
        <v>75892247</v>
      </c>
      <c r="AT36" s="559">
        <v>0.17699999999999999</v>
      </c>
      <c r="AU36" s="517">
        <v>0.16800000000000001</v>
      </c>
      <c r="AV36" s="524">
        <v>0.161</v>
      </c>
      <c r="AW36" s="501">
        <v>0.154</v>
      </c>
      <c r="AX36" s="490">
        <v>0.14699999999999999</v>
      </c>
      <c r="AY36" s="491">
        <v>0.13900000000000001</v>
      </c>
      <c r="AZ36" s="638">
        <v>0.129</v>
      </c>
      <c r="BA36" s="635">
        <v>0.114</v>
      </c>
      <c r="BB36" s="639">
        <v>8.6999999999999994E-2</v>
      </c>
      <c r="BC36" s="500">
        <v>0.02</v>
      </c>
      <c r="BD36" s="640">
        <v>0.33100000000000002</v>
      </c>
      <c r="BE36" s="261" t="e">
        <v>#DIV/0!</v>
      </c>
      <c r="BF36" s="261" t="e">
        <v>#DIV/0!</v>
      </c>
      <c r="BG36" s="261" t="e">
        <v>#DIV/0!</v>
      </c>
      <c r="BH36" s="261" t="e">
        <v>#DIV/0!</v>
      </c>
      <c r="BI36" s="308" t="e">
        <v>#DIV/0!</v>
      </c>
      <c r="BJ36" s="260"/>
      <c r="BK36" s="260"/>
      <c r="BL36" s="269" t="s">
        <v>11</v>
      </c>
      <c r="BM36" s="270">
        <v>195405555</v>
      </c>
      <c r="BN36" s="270">
        <v>75892247</v>
      </c>
      <c r="BO36" s="533">
        <v>0.18</v>
      </c>
      <c r="BP36" s="490">
        <v>0.17</v>
      </c>
      <c r="BQ36" s="490">
        <v>0.16200000000000001</v>
      </c>
      <c r="BR36" s="509">
        <v>0.154</v>
      </c>
      <c r="BS36" s="534">
        <v>0.14699999999999999</v>
      </c>
      <c r="BT36" s="510">
        <v>0.13800000000000001</v>
      </c>
      <c r="BU36" s="511">
        <v>0.128</v>
      </c>
      <c r="BV36" s="491">
        <v>0.112</v>
      </c>
      <c r="BW36" s="635">
        <v>8.4000000000000005E-2</v>
      </c>
      <c r="BX36" s="500">
        <v>1.4999999999999999E-2</v>
      </c>
      <c r="BY36" s="560">
        <v>0.35199999999999998</v>
      </c>
      <c r="BZ36" s="500">
        <v>1.4999999999999999E-2</v>
      </c>
      <c r="CA36" s="500">
        <v>1.4999999999999999E-2</v>
      </c>
      <c r="CB36" s="500">
        <v>1.4999999999999999E-2</v>
      </c>
      <c r="CC36" s="500">
        <v>1.4999999999999999E-2</v>
      </c>
      <c r="CD36" s="308" t="e">
        <v>#DIV/0!</v>
      </c>
    </row>
    <row r="37" spans="1:82" x14ac:dyDescent="0.2">
      <c r="A37" s="260"/>
      <c r="B37" s="15" t="s">
        <v>14</v>
      </c>
      <c r="C37" s="53">
        <v>4467075684.9250851</v>
      </c>
      <c r="D37" s="53">
        <v>1365370425.5038662</v>
      </c>
      <c r="E37" s="153">
        <v>0.12</v>
      </c>
      <c r="F37" s="25">
        <v>0.12</v>
      </c>
      <c r="G37" s="25">
        <v>0.12</v>
      </c>
      <c r="H37" s="25">
        <v>0.12</v>
      </c>
      <c r="I37" s="25">
        <v>0.12</v>
      </c>
      <c r="J37" s="25">
        <v>0.12</v>
      </c>
      <c r="K37" s="25">
        <v>0.12</v>
      </c>
      <c r="L37" s="25">
        <v>0.12</v>
      </c>
      <c r="M37" s="25">
        <v>0.12</v>
      </c>
      <c r="N37" s="25">
        <v>0.12</v>
      </c>
      <c r="O37" s="25">
        <v>0.12</v>
      </c>
      <c r="P37" s="25">
        <v>0.12</v>
      </c>
      <c r="Q37" s="25">
        <v>0.12</v>
      </c>
      <c r="R37" s="25">
        <v>0.12</v>
      </c>
      <c r="S37" s="25">
        <v>0.12</v>
      </c>
      <c r="T37" s="42">
        <v>0.12</v>
      </c>
      <c r="U37" s="474"/>
      <c r="V37" s="459" t="s">
        <v>14</v>
      </c>
      <c r="W37" s="460">
        <v>4467075685</v>
      </c>
      <c r="X37" s="460">
        <v>1365370426</v>
      </c>
      <c r="Y37" s="641">
        <v>0.12</v>
      </c>
      <c r="Z37" s="472">
        <v>0.12</v>
      </c>
      <c r="AA37" s="472">
        <v>0.12</v>
      </c>
      <c r="AB37" s="472">
        <v>0.12</v>
      </c>
      <c r="AC37" s="472">
        <v>0.12</v>
      </c>
      <c r="AD37" s="472">
        <v>0.12</v>
      </c>
      <c r="AE37" s="472">
        <v>0.12</v>
      </c>
      <c r="AF37" s="472">
        <v>0.12</v>
      </c>
      <c r="AG37" s="472">
        <v>0.12</v>
      </c>
      <c r="AH37" s="472">
        <v>0.12</v>
      </c>
      <c r="AI37" s="472">
        <v>0.12</v>
      </c>
      <c r="AJ37" s="472">
        <v>0.12</v>
      </c>
      <c r="AK37" s="472">
        <v>0.12</v>
      </c>
      <c r="AL37" s="472">
        <v>0.12</v>
      </c>
      <c r="AM37" s="472">
        <v>0.12</v>
      </c>
      <c r="AN37" s="642">
        <v>0.12</v>
      </c>
      <c r="AO37" s="260"/>
      <c r="AP37" s="260"/>
      <c r="AQ37" s="459" t="s">
        <v>14</v>
      </c>
      <c r="AR37" s="460">
        <v>4467075685</v>
      </c>
      <c r="AS37" s="460">
        <v>1365370426</v>
      </c>
      <c r="AT37" s="641">
        <v>0.12</v>
      </c>
      <c r="AU37" s="472">
        <v>0.12</v>
      </c>
      <c r="AV37" s="472">
        <v>0.12</v>
      </c>
      <c r="AW37" s="472">
        <v>0.12</v>
      </c>
      <c r="AX37" s="472">
        <v>0.12</v>
      </c>
      <c r="AY37" s="472">
        <v>0.12</v>
      </c>
      <c r="AZ37" s="472">
        <v>0.12</v>
      </c>
      <c r="BA37" s="472">
        <v>0.12</v>
      </c>
      <c r="BB37" s="472">
        <v>0.12</v>
      </c>
      <c r="BC37" s="472">
        <v>0.12</v>
      </c>
      <c r="BD37" s="472">
        <v>0.12</v>
      </c>
      <c r="BE37" s="472">
        <v>0.12</v>
      </c>
      <c r="BF37" s="472">
        <v>0.12</v>
      </c>
      <c r="BG37" s="472">
        <v>0.12</v>
      </c>
      <c r="BH37" s="472">
        <v>0.12</v>
      </c>
      <c r="BI37" s="642">
        <v>0.12</v>
      </c>
      <c r="BJ37" s="260"/>
      <c r="BK37" s="260"/>
      <c r="BL37" s="459" t="s">
        <v>14</v>
      </c>
      <c r="BM37" s="460">
        <v>4467075685</v>
      </c>
      <c r="BN37" s="460">
        <v>1365370426</v>
      </c>
      <c r="BO37" s="641">
        <v>0.12</v>
      </c>
      <c r="BP37" s="472">
        <v>0.12</v>
      </c>
      <c r="BQ37" s="472">
        <v>0.12</v>
      </c>
      <c r="BR37" s="472">
        <v>0.12</v>
      </c>
      <c r="BS37" s="472">
        <v>0.12</v>
      </c>
      <c r="BT37" s="472">
        <v>0.12</v>
      </c>
      <c r="BU37" s="472">
        <v>0.12</v>
      </c>
      <c r="BV37" s="472">
        <v>0.12</v>
      </c>
      <c r="BW37" s="472">
        <v>0.12</v>
      </c>
      <c r="BX37" s="472">
        <v>0.12</v>
      </c>
      <c r="BY37" s="472">
        <v>0.12</v>
      </c>
      <c r="BZ37" s="472">
        <v>0.12</v>
      </c>
      <c r="CA37" s="472">
        <v>0.12</v>
      </c>
      <c r="CB37" s="472">
        <v>0.12</v>
      </c>
      <c r="CC37" s="472">
        <v>0.12</v>
      </c>
      <c r="CD37" s="642">
        <v>0.12</v>
      </c>
    </row>
    <row r="38" spans="1:82" x14ac:dyDescent="0.2">
      <c r="A38" s="260"/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0"/>
      <c r="AO38" s="260"/>
      <c r="AP38" s="260"/>
      <c r="AQ38" s="260"/>
      <c r="AR38" s="260"/>
      <c r="AS38" s="260"/>
      <c r="AT38" s="260"/>
      <c r="AU38" s="260"/>
      <c r="AV38" s="260"/>
      <c r="AW38" s="260"/>
      <c r="AX38" s="260"/>
      <c r="AY38" s="260"/>
      <c r="AZ38" s="260"/>
      <c r="BA38" s="260"/>
      <c r="BB38" s="260"/>
      <c r="BC38" s="260"/>
      <c r="BD38" s="260"/>
      <c r="BE38" s="260"/>
      <c r="BF38" s="260"/>
      <c r="BG38" s="260"/>
      <c r="BH38" s="260"/>
      <c r="BI38" s="260"/>
      <c r="BJ38" s="260"/>
      <c r="BK38" s="260"/>
      <c r="BL38" s="260"/>
      <c r="BM38" s="260"/>
      <c r="BN38" s="260"/>
      <c r="BO38" s="260"/>
      <c r="BP38" s="260"/>
      <c r="BQ38" s="260"/>
      <c r="BR38" s="260"/>
      <c r="BS38" s="260"/>
      <c r="BT38" s="260"/>
      <c r="BU38" s="260"/>
      <c r="BV38" s="260"/>
      <c r="BW38" s="260"/>
      <c r="BX38" s="260"/>
      <c r="BY38" s="260"/>
      <c r="BZ38" s="260"/>
      <c r="CA38" s="260"/>
      <c r="CB38" s="260"/>
      <c r="CC38" s="260"/>
      <c r="CD38" s="260"/>
    </row>
    <row r="39" spans="1:82" x14ac:dyDescent="0.2">
      <c r="A39" s="260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/>
      <c r="AO39" s="260"/>
      <c r="AP39" s="260"/>
      <c r="AQ39" s="260"/>
      <c r="AR39" s="260"/>
      <c r="AS39" s="260"/>
      <c r="AT39" s="260"/>
      <c r="AU39" s="260"/>
      <c r="AV39" s="260"/>
      <c r="AW39" s="260"/>
      <c r="AX39" s="260"/>
      <c r="AY39" s="260"/>
      <c r="AZ39" s="260"/>
      <c r="BA39" s="260"/>
      <c r="BB39" s="260"/>
      <c r="BC39" s="260"/>
      <c r="BD39" s="260"/>
      <c r="BE39" s="260"/>
      <c r="BF39" s="260"/>
      <c r="BG39" s="260"/>
      <c r="BH39" s="260"/>
      <c r="BI39" s="260"/>
      <c r="BJ39" s="260"/>
      <c r="BK39" s="260"/>
      <c r="BL39" s="260"/>
      <c r="BM39" s="260"/>
      <c r="BN39" s="260"/>
      <c r="BO39" s="260"/>
      <c r="BP39" s="260"/>
      <c r="BQ39" s="260"/>
      <c r="BR39" s="260"/>
      <c r="BS39" s="260"/>
      <c r="BT39" s="260"/>
      <c r="BU39" s="260"/>
      <c r="BV39" s="260"/>
      <c r="BW39" s="260"/>
      <c r="BX39" s="260"/>
      <c r="BY39" s="260"/>
      <c r="BZ39" s="260"/>
      <c r="CA39" s="260"/>
      <c r="CB39" s="260"/>
      <c r="CC39" s="260"/>
      <c r="CD39" s="260"/>
    </row>
    <row r="40" spans="1:82" ht="21" x14ac:dyDescent="0.25">
      <c r="A40" s="260"/>
      <c r="B40" s="105" t="s">
        <v>213</v>
      </c>
      <c r="C40" s="105"/>
      <c r="D40" s="105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0"/>
      <c r="V40" s="105" t="s">
        <v>216</v>
      </c>
      <c r="W40" s="105"/>
      <c r="X40" s="105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0"/>
      <c r="AP40" s="260"/>
      <c r="AQ40" s="105" t="s">
        <v>212</v>
      </c>
      <c r="AR40" s="105"/>
      <c r="AS40" s="105"/>
      <c r="AT40" s="262"/>
      <c r="AU40" s="262"/>
      <c r="AV40" s="262"/>
      <c r="AW40" s="262"/>
      <c r="AX40" s="262"/>
      <c r="AY40" s="262"/>
      <c r="AZ40" s="262"/>
      <c r="BA40" s="262"/>
      <c r="BB40" s="262"/>
      <c r="BC40" s="262"/>
      <c r="BD40" s="262"/>
      <c r="BE40" s="262"/>
      <c r="BF40" s="262"/>
      <c r="BG40" s="262"/>
      <c r="BH40" s="262"/>
      <c r="BI40" s="262"/>
      <c r="BJ40" s="260"/>
      <c r="BK40" s="260"/>
      <c r="BL40" s="105" t="s">
        <v>221</v>
      </c>
      <c r="BM40" s="105"/>
      <c r="BN40" s="105"/>
      <c r="BO40" s="262"/>
      <c r="BP40" s="262"/>
      <c r="BQ40" s="262"/>
      <c r="BR40" s="262"/>
      <c r="BS40" s="262"/>
      <c r="BT40" s="262"/>
      <c r="BU40" s="262"/>
      <c r="BV40" s="262"/>
      <c r="BW40" s="262"/>
      <c r="BX40" s="262"/>
      <c r="BY40" s="262"/>
      <c r="BZ40" s="262"/>
      <c r="CA40" s="262"/>
      <c r="CB40" s="262"/>
      <c r="CC40" s="262"/>
      <c r="CD40" s="262"/>
    </row>
    <row r="41" spans="1:82" x14ac:dyDescent="0.2">
      <c r="A41" s="260"/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0"/>
      <c r="AO41" s="260"/>
      <c r="AP41" s="260"/>
      <c r="AQ41" s="260"/>
      <c r="AR41" s="260"/>
      <c r="AS41" s="260"/>
      <c r="AT41" s="260"/>
      <c r="AU41" s="260"/>
      <c r="AV41" s="260"/>
      <c r="AW41" s="260"/>
      <c r="AX41" s="260"/>
      <c r="AY41" s="260"/>
      <c r="AZ41" s="260"/>
      <c r="BA41" s="260"/>
      <c r="BB41" s="260"/>
      <c r="BC41" s="260"/>
      <c r="BD41" s="260"/>
      <c r="BE41" s="260"/>
      <c r="BF41" s="260"/>
      <c r="BG41" s="260"/>
      <c r="BH41" s="260"/>
      <c r="BI41" s="260"/>
      <c r="BJ41" s="260"/>
      <c r="BK41" s="260"/>
      <c r="BL41" s="260"/>
      <c r="BM41" s="260"/>
      <c r="BN41" s="260"/>
      <c r="BO41" s="260"/>
      <c r="BP41" s="260"/>
      <c r="BQ41" s="260"/>
      <c r="BR41" s="260"/>
      <c r="BS41" s="260"/>
      <c r="BT41" s="260"/>
      <c r="BU41" s="260"/>
      <c r="BV41" s="260"/>
      <c r="BW41" s="260"/>
      <c r="BX41" s="260"/>
      <c r="BY41" s="260"/>
      <c r="BZ41" s="260"/>
      <c r="CA41" s="260"/>
      <c r="CB41" s="260"/>
      <c r="CC41" s="260"/>
      <c r="CD41" s="260"/>
    </row>
    <row r="42" spans="1:82" ht="19" x14ac:dyDescent="0.25">
      <c r="A42" s="260"/>
      <c r="B42" s="263" t="s">
        <v>66</v>
      </c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3" t="s">
        <v>66</v>
      </c>
      <c r="W42" s="263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3" t="s">
        <v>66</v>
      </c>
      <c r="AR42" s="263"/>
      <c r="AS42" s="260"/>
      <c r="AT42" s="260"/>
      <c r="AU42" s="260"/>
      <c r="AV42" s="260"/>
      <c r="AW42" s="260"/>
      <c r="AX42" s="260"/>
      <c r="AY42" s="260"/>
      <c r="AZ42" s="260"/>
      <c r="BA42" s="260"/>
      <c r="BB42" s="260"/>
      <c r="BC42" s="260"/>
      <c r="BD42" s="260"/>
      <c r="BE42" s="260"/>
      <c r="BF42" s="260"/>
      <c r="BG42" s="260"/>
      <c r="BH42" s="260"/>
      <c r="BI42" s="260"/>
      <c r="BJ42" s="260"/>
      <c r="BK42" s="260"/>
      <c r="BL42" s="263" t="s">
        <v>66</v>
      </c>
      <c r="BM42" s="263"/>
      <c r="BN42" s="260"/>
      <c r="BO42" s="260"/>
      <c r="BP42" s="260"/>
      <c r="BQ42" s="260"/>
      <c r="BR42" s="260"/>
      <c r="BS42" s="260"/>
      <c r="BT42" s="260"/>
      <c r="BU42" s="260"/>
      <c r="BV42" s="260"/>
      <c r="BW42" s="260"/>
      <c r="BX42" s="260"/>
      <c r="BY42" s="260"/>
      <c r="BZ42" s="260"/>
      <c r="CA42" s="260"/>
      <c r="CB42" s="260"/>
      <c r="CC42" s="260"/>
      <c r="CD42" s="260"/>
    </row>
    <row r="43" spans="1:82" ht="32" x14ac:dyDescent="0.2">
      <c r="A43" s="260"/>
      <c r="B43" s="264" t="s">
        <v>12</v>
      </c>
      <c r="C43" s="265" t="s">
        <v>15</v>
      </c>
      <c r="D43" s="265" t="s">
        <v>13</v>
      </c>
      <c r="E43" s="265" t="s">
        <v>37</v>
      </c>
      <c r="F43" s="265" t="s">
        <v>35</v>
      </c>
      <c r="G43" s="265" t="s">
        <v>36</v>
      </c>
      <c r="H43" s="265" t="s">
        <v>38</v>
      </c>
      <c r="I43" s="265" t="s">
        <v>39</v>
      </c>
      <c r="J43" s="265" t="s">
        <v>40</v>
      </c>
      <c r="K43" s="265" t="s">
        <v>41</v>
      </c>
      <c r="L43" s="265" t="s">
        <v>42</v>
      </c>
      <c r="M43" s="265" t="s">
        <v>43</v>
      </c>
      <c r="N43" s="265" t="s">
        <v>44</v>
      </c>
      <c r="O43" s="265" t="s">
        <v>45</v>
      </c>
      <c r="P43" s="265" t="s">
        <v>46</v>
      </c>
      <c r="Q43" s="266" t="s">
        <v>47</v>
      </c>
      <c r="R43" s="266" t="s">
        <v>75</v>
      </c>
      <c r="S43" s="266" t="s">
        <v>76</v>
      </c>
      <c r="T43" s="267" t="s">
        <v>77</v>
      </c>
      <c r="U43" s="268"/>
      <c r="V43" s="264" t="s">
        <v>12</v>
      </c>
      <c r="W43" s="265" t="s">
        <v>15</v>
      </c>
      <c r="X43" s="265" t="s">
        <v>13</v>
      </c>
      <c r="Y43" s="265" t="s">
        <v>37</v>
      </c>
      <c r="Z43" s="265" t="s">
        <v>35</v>
      </c>
      <c r="AA43" s="265" t="s">
        <v>36</v>
      </c>
      <c r="AB43" s="265" t="s">
        <v>38</v>
      </c>
      <c r="AC43" s="265" t="s">
        <v>39</v>
      </c>
      <c r="AD43" s="265" t="s">
        <v>40</v>
      </c>
      <c r="AE43" s="265" t="s">
        <v>41</v>
      </c>
      <c r="AF43" s="265" t="s">
        <v>42</v>
      </c>
      <c r="AG43" s="265" t="s">
        <v>43</v>
      </c>
      <c r="AH43" s="265" t="s">
        <v>44</v>
      </c>
      <c r="AI43" s="265" t="s">
        <v>45</v>
      </c>
      <c r="AJ43" s="265" t="s">
        <v>46</v>
      </c>
      <c r="AK43" s="266" t="s">
        <v>47</v>
      </c>
      <c r="AL43" s="266" t="s">
        <v>75</v>
      </c>
      <c r="AM43" s="266" t="s">
        <v>76</v>
      </c>
      <c r="AN43" s="267" t="s">
        <v>77</v>
      </c>
      <c r="AO43" s="260"/>
      <c r="AP43" s="260"/>
      <c r="AQ43" s="264" t="s">
        <v>12</v>
      </c>
      <c r="AR43" s="265" t="s">
        <v>15</v>
      </c>
      <c r="AS43" s="265" t="s">
        <v>13</v>
      </c>
      <c r="AT43" s="265" t="s">
        <v>37</v>
      </c>
      <c r="AU43" s="265" t="s">
        <v>35</v>
      </c>
      <c r="AV43" s="265" t="s">
        <v>36</v>
      </c>
      <c r="AW43" s="265" t="s">
        <v>38</v>
      </c>
      <c r="AX43" s="265" t="s">
        <v>39</v>
      </c>
      <c r="AY43" s="265" t="s">
        <v>40</v>
      </c>
      <c r="AZ43" s="265" t="s">
        <v>41</v>
      </c>
      <c r="BA43" s="265" t="s">
        <v>42</v>
      </c>
      <c r="BB43" s="265" t="s">
        <v>43</v>
      </c>
      <c r="BC43" s="265" t="s">
        <v>44</v>
      </c>
      <c r="BD43" s="265" t="s">
        <v>45</v>
      </c>
      <c r="BE43" s="265" t="s">
        <v>46</v>
      </c>
      <c r="BF43" s="266" t="s">
        <v>47</v>
      </c>
      <c r="BG43" s="266" t="s">
        <v>75</v>
      </c>
      <c r="BH43" s="266" t="s">
        <v>76</v>
      </c>
      <c r="BI43" s="267" t="s">
        <v>77</v>
      </c>
      <c r="BJ43" s="260"/>
      <c r="BK43" s="260"/>
      <c r="BL43" s="264" t="s">
        <v>12</v>
      </c>
      <c r="BM43" s="265" t="s">
        <v>15</v>
      </c>
      <c r="BN43" s="265" t="s">
        <v>13</v>
      </c>
      <c r="BO43" s="265" t="s">
        <v>37</v>
      </c>
      <c r="BP43" s="265" t="s">
        <v>35</v>
      </c>
      <c r="BQ43" s="265" t="s">
        <v>36</v>
      </c>
      <c r="BR43" s="265" t="s">
        <v>38</v>
      </c>
      <c r="BS43" s="265" t="s">
        <v>39</v>
      </c>
      <c r="BT43" s="265" t="s">
        <v>40</v>
      </c>
      <c r="BU43" s="265" t="s">
        <v>41</v>
      </c>
      <c r="BV43" s="265" t="s">
        <v>42</v>
      </c>
      <c r="BW43" s="265" t="s">
        <v>43</v>
      </c>
      <c r="BX43" s="265" t="s">
        <v>44</v>
      </c>
      <c r="BY43" s="265" t="s">
        <v>45</v>
      </c>
      <c r="BZ43" s="265" t="s">
        <v>46</v>
      </c>
      <c r="CA43" s="266" t="s">
        <v>47</v>
      </c>
      <c r="CB43" s="266" t="s">
        <v>75</v>
      </c>
      <c r="CC43" s="266" t="s">
        <v>76</v>
      </c>
      <c r="CD43" s="267" t="s">
        <v>77</v>
      </c>
    </row>
    <row r="44" spans="1:82" x14ac:dyDescent="0.2">
      <c r="A44" s="260"/>
      <c r="B44" s="269" t="s">
        <v>0</v>
      </c>
      <c r="C44" s="270">
        <v>74061018</v>
      </c>
      <c r="D44" s="270">
        <v>20012871</v>
      </c>
      <c r="E44" s="309">
        <v>0.34</v>
      </c>
      <c r="F44" s="379">
        <v>0.3</v>
      </c>
      <c r="G44" s="347">
        <v>0.26</v>
      </c>
      <c r="H44" s="424">
        <v>0.22</v>
      </c>
      <c r="I44" s="387">
        <v>0.18</v>
      </c>
      <c r="J44" s="310">
        <v>0.15</v>
      </c>
      <c r="K44" s="391">
        <v>0.11</v>
      </c>
      <c r="L44" s="457">
        <v>0.08</v>
      </c>
      <c r="M44" s="643">
        <v>0.06</v>
      </c>
      <c r="N44" s="644">
        <v>0.03</v>
      </c>
      <c r="O44" s="645">
        <v>0.02</v>
      </c>
      <c r="P44" s="288">
        <v>0</v>
      </c>
      <c r="Q44" s="298">
        <v>0</v>
      </c>
      <c r="R44" s="298">
        <v>0</v>
      </c>
      <c r="S44" s="298">
        <v>0</v>
      </c>
      <c r="T44" s="299">
        <v>0</v>
      </c>
      <c r="U44" s="283"/>
      <c r="V44" s="269" t="s">
        <v>0</v>
      </c>
      <c r="W44" s="270">
        <v>74061018</v>
      </c>
      <c r="X44" s="270">
        <v>20012871</v>
      </c>
      <c r="Y44" s="301">
        <v>0.34</v>
      </c>
      <c r="Z44" s="272">
        <v>0.3</v>
      </c>
      <c r="AA44" s="426">
        <v>0.26</v>
      </c>
      <c r="AB44" s="646">
        <v>0.22</v>
      </c>
      <c r="AC44" s="445">
        <v>0.18</v>
      </c>
      <c r="AD44" s="304">
        <v>0.14000000000000001</v>
      </c>
      <c r="AE44" s="647">
        <v>0.11</v>
      </c>
      <c r="AF44" s="311">
        <v>0.08</v>
      </c>
      <c r="AG44" s="648">
        <v>0.06</v>
      </c>
      <c r="AH44" s="649">
        <v>0.04</v>
      </c>
      <c r="AI44" s="408">
        <v>0.02</v>
      </c>
      <c r="AJ44" s="431">
        <v>0.01</v>
      </c>
      <c r="AK44" s="650">
        <v>0</v>
      </c>
      <c r="AL44" s="651">
        <v>0</v>
      </c>
      <c r="AM44" s="298">
        <v>0</v>
      </c>
      <c r="AN44" s="652">
        <v>6.0000000000000001E-3</v>
      </c>
      <c r="AO44" s="260"/>
      <c r="AP44" s="260"/>
      <c r="AQ44" s="269" t="s">
        <v>0</v>
      </c>
      <c r="AR44" s="270">
        <v>74061018</v>
      </c>
      <c r="AS44" s="270">
        <v>20012871</v>
      </c>
      <c r="AT44" s="323">
        <v>0.34</v>
      </c>
      <c r="AU44" s="343">
        <v>0.3</v>
      </c>
      <c r="AV44" s="653">
        <v>0.26</v>
      </c>
      <c r="AW44" s="646">
        <v>0.22</v>
      </c>
      <c r="AX44" s="355">
        <v>0.18</v>
      </c>
      <c r="AY44" s="293">
        <v>0.14000000000000001</v>
      </c>
      <c r="AZ44" s="390">
        <v>0.11</v>
      </c>
      <c r="BA44" s="285">
        <v>0.08</v>
      </c>
      <c r="BB44" s="654">
        <v>0.06</v>
      </c>
      <c r="BC44" s="378">
        <v>0.04</v>
      </c>
      <c r="BD44" s="655">
        <v>0.02</v>
      </c>
      <c r="BE44" s="297">
        <v>0.01</v>
      </c>
      <c r="BF44" s="656">
        <v>0.01</v>
      </c>
      <c r="BG44" s="657">
        <v>0</v>
      </c>
      <c r="BH44" s="298">
        <v>0</v>
      </c>
      <c r="BI44" s="658">
        <v>8.0000000000000002E-3</v>
      </c>
      <c r="BJ44" s="260"/>
      <c r="BK44" s="260"/>
      <c r="BL44" s="269" t="s">
        <v>0</v>
      </c>
      <c r="BM44" s="270">
        <v>74061018</v>
      </c>
      <c r="BN44" s="270">
        <v>20012871</v>
      </c>
      <c r="BO44" s="323">
        <v>0.34</v>
      </c>
      <c r="BP44" s="343">
        <v>0.3</v>
      </c>
      <c r="BQ44" s="653">
        <v>0.25</v>
      </c>
      <c r="BR44" s="430">
        <v>0.22</v>
      </c>
      <c r="BS44" s="274">
        <v>0.18</v>
      </c>
      <c r="BT44" s="405">
        <v>0.14000000000000001</v>
      </c>
      <c r="BU44" s="433">
        <v>0.11</v>
      </c>
      <c r="BV44" s="356">
        <v>0.08</v>
      </c>
      <c r="BW44" s="443">
        <v>0.06</v>
      </c>
      <c r="BX44" s="453">
        <v>0.04</v>
      </c>
      <c r="BY44" s="659">
        <v>0.02</v>
      </c>
      <c r="BZ44" s="645">
        <v>0.01</v>
      </c>
      <c r="CA44" s="660">
        <v>0.01</v>
      </c>
      <c r="CB44" s="650">
        <v>0</v>
      </c>
      <c r="CC44" s="298">
        <v>0</v>
      </c>
      <c r="CD44" s="661">
        <v>7.0000000000000001E-3</v>
      </c>
    </row>
    <row r="45" spans="1:82" x14ac:dyDescent="0.2">
      <c r="A45" s="260"/>
      <c r="B45" s="269" t="s">
        <v>1</v>
      </c>
      <c r="C45" s="270">
        <v>164966422</v>
      </c>
      <c r="D45" s="270">
        <v>66753996</v>
      </c>
      <c r="E45" s="416">
        <v>0.41</v>
      </c>
      <c r="F45" s="289">
        <v>0.38</v>
      </c>
      <c r="G45" s="364">
        <v>0.35</v>
      </c>
      <c r="H45" s="316">
        <v>0.32</v>
      </c>
      <c r="I45" s="353">
        <v>0.28999999999999998</v>
      </c>
      <c r="J45" s="347">
        <v>0.26</v>
      </c>
      <c r="K45" s="646">
        <v>0.22</v>
      </c>
      <c r="L45" s="355">
        <v>0.19</v>
      </c>
      <c r="M45" s="293">
        <v>0.15</v>
      </c>
      <c r="N45" s="440">
        <v>0.12</v>
      </c>
      <c r="O45" s="662">
        <v>0.08</v>
      </c>
      <c r="P45" s="346">
        <v>0.05</v>
      </c>
      <c r="Q45" s="458">
        <v>0.02</v>
      </c>
      <c r="R45" s="307">
        <v>0</v>
      </c>
      <c r="S45" s="280">
        <v>0</v>
      </c>
      <c r="T45" s="320">
        <v>0</v>
      </c>
      <c r="U45" s="283"/>
      <c r="V45" s="269" t="s">
        <v>1</v>
      </c>
      <c r="W45" s="270">
        <v>164966422</v>
      </c>
      <c r="X45" s="270">
        <v>66753996</v>
      </c>
      <c r="Y45" s="410">
        <v>0.41</v>
      </c>
      <c r="Z45" s="289">
        <v>0.38</v>
      </c>
      <c r="AA45" s="364">
        <v>0.35</v>
      </c>
      <c r="AB45" s="316">
        <v>0.32</v>
      </c>
      <c r="AC45" s="353">
        <v>0.28000000000000003</v>
      </c>
      <c r="AD45" s="347">
        <v>0.25</v>
      </c>
      <c r="AE45" s="663">
        <v>0.22</v>
      </c>
      <c r="AF45" s="355">
        <v>0.18</v>
      </c>
      <c r="AG45" s="293">
        <v>0.15</v>
      </c>
      <c r="AH45" s="664">
        <v>0.11</v>
      </c>
      <c r="AI45" s="371">
        <v>0.08</v>
      </c>
      <c r="AJ45" s="348">
        <v>0.05</v>
      </c>
      <c r="AK45" s="458">
        <v>0.02</v>
      </c>
      <c r="AL45" s="312">
        <v>0</v>
      </c>
      <c r="AM45" s="280">
        <v>0</v>
      </c>
      <c r="AN45" s="665">
        <v>5.0000000000000001E-3</v>
      </c>
      <c r="AO45" s="260"/>
      <c r="AP45" s="260"/>
      <c r="AQ45" s="269" t="s">
        <v>1</v>
      </c>
      <c r="AR45" s="270">
        <v>164966422</v>
      </c>
      <c r="AS45" s="270">
        <v>66753996</v>
      </c>
      <c r="AT45" s="342">
        <v>0.41</v>
      </c>
      <c r="AU45" s="289">
        <v>0.38</v>
      </c>
      <c r="AV45" s="364">
        <v>0.35</v>
      </c>
      <c r="AW45" s="316">
        <v>0.31</v>
      </c>
      <c r="AX45" s="353">
        <v>0.28000000000000003</v>
      </c>
      <c r="AY45" s="347">
        <v>0.25</v>
      </c>
      <c r="AZ45" s="646">
        <v>0.21</v>
      </c>
      <c r="BA45" s="355">
        <v>0.18</v>
      </c>
      <c r="BB45" s="293">
        <v>0.15</v>
      </c>
      <c r="BC45" s="440">
        <v>0.11</v>
      </c>
      <c r="BD45" s="442">
        <v>0.08</v>
      </c>
      <c r="BE45" s="348">
        <v>0.05</v>
      </c>
      <c r="BF45" s="458">
        <v>0.02</v>
      </c>
      <c r="BG45" s="296">
        <v>0.01</v>
      </c>
      <c r="BH45" s="280">
        <v>0</v>
      </c>
      <c r="BI45" s="666">
        <v>1E-3</v>
      </c>
      <c r="BJ45" s="260"/>
      <c r="BK45" s="260"/>
      <c r="BL45" s="269" t="s">
        <v>1</v>
      </c>
      <c r="BM45" s="270">
        <v>164966422</v>
      </c>
      <c r="BN45" s="270">
        <v>66753996</v>
      </c>
      <c r="BO45" s="375">
        <v>0.41</v>
      </c>
      <c r="BP45" s="414">
        <v>0.38</v>
      </c>
      <c r="BQ45" s="364">
        <v>0.34</v>
      </c>
      <c r="BR45" s="316">
        <v>0.31</v>
      </c>
      <c r="BS45" s="353">
        <v>0.28000000000000003</v>
      </c>
      <c r="BT45" s="347">
        <v>0.25</v>
      </c>
      <c r="BU45" s="646">
        <v>0.21</v>
      </c>
      <c r="BV45" s="355">
        <v>0.18</v>
      </c>
      <c r="BW45" s="293">
        <v>0.14000000000000001</v>
      </c>
      <c r="BX45" s="390">
        <v>0.11</v>
      </c>
      <c r="BY45" s="442">
        <v>0.08</v>
      </c>
      <c r="BZ45" s="667">
        <v>0.05</v>
      </c>
      <c r="CA45" s="372">
        <v>0.02</v>
      </c>
      <c r="CB45" s="328">
        <v>0.01</v>
      </c>
      <c r="CC45" s="333">
        <v>0</v>
      </c>
      <c r="CD45" s="320">
        <v>0</v>
      </c>
    </row>
    <row r="46" spans="1:82" x14ac:dyDescent="0.2">
      <c r="A46" s="260"/>
      <c r="B46" s="269" t="s">
        <v>2</v>
      </c>
      <c r="C46" s="270">
        <v>111850438</v>
      </c>
      <c r="D46" s="270">
        <v>59635518</v>
      </c>
      <c r="E46" s="668">
        <v>0.56999999999999995</v>
      </c>
      <c r="F46" s="669">
        <v>0.52</v>
      </c>
      <c r="G46" s="670">
        <v>0.47</v>
      </c>
      <c r="H46" s="375">
        <v>0.41</v>
      </c>
      <c r="I46" s="315">
        <v>0.36</v>
      </c>
      <c r="J46" s="671">
        <v>0.31</v>
      </c>
      <c r="K46" s="347">
        <v>0.26</v>
      </c>
      <c r="L46" s="345">
        <v>0.21</v>
      </c>
      <c r="M46" s="293">
        <v>0.16</v>
      </c>
      <c r="N46" s="672">
        <v>0.11</v>
      </c>
      <c r="O46" s="673">
        <v>7.0000000000000007E-2</v>
      </c>
      <c r="P46" s="674">
        <v>0.03</v>
      </c>
      <c r="Q46" s="327">
        <v>0.01</v>
      </c>
      <c r="R46" s="280">
        <v>0</v>
      </c>
      <c r="S46" s="280">
        <v>0</v>
      </c>
      <c r="T46" s="320">
        <v>0</v>
      </c>
      <c r="U46" s="283"/>
      <c r="V46" s="269" t="s">
        <v>2</v>
      </c>
      <c r="W46" s="270">
        <v>111850438</v>
      </c>
      <c r="X46" s="270">
        <v>59635518</v>
      </c>
      <c r="Y46" s="668">
        <v>0.56999999999999995</v>
      </c>
      <c r="Z46" s="669">
        <v>0.51</v>
      </c>
      <c r="AA46" s="384">
        <v>0.46</v>
      </c>
      <c r="AB46" s="416">
        <v>0.4</v>
      </c>
      <c r="AC46" s="364">
        <v>0.35</v>
      </c>
      <c r="AD46" s="379">
        <v>0.28999999999999998</v>
      </c>
      <c r="AE46" s="273">
        <v>0.24</v>
      </c>
      <c r="AF46" s="675">
        <v>0.19</v>
      </c>
      <c r="AG46" s="310">
        <v>0.14000000000000001</v>
      </c>
      <c r="AH46" s="676">
        <v>0.1</v>
      </c>
      <c r="AI46" s="437">
        <v>0.06</v>
      </c>
      <c r="AJ46" s="394">
        <v>0.03</v>
      </c>
      <c r="AK46" s="431">
        <v>0.01</v>
      </c>
      <c r="AL46" s="307">
        <v>0</v>
      </c>
      <c r="AM46" s="307">
        <v>0</v>
      </c>
      <c r="AN46" s="320">
        <v>0</v>
      </c>
      <c r="AO46" s="260"/>
      <c r="AP46" s="260"/>
      <c r="AQ46" s="269" t="s">
        <v>2</v>
      </c>
      <c r="AR46" s="270">
        <v>111850438</v>
      </c>
      <c r="AS46" s="270">
        <v>59635518</v>
      </c>
      <c r="AT46" s="668">
        <v>0.56999999999999995</v>
      </c>
      <c r="AU46" s="677">
        <v>0.51</v>
      </c>
      <c r="AV46" s="350">
        <v>0.45</v>
      </c>
      <c r="AW46" s="314">
        <v>0.4</v>
      </c>
      <c r="AX46" s="418">
        <v>0.34</v>
      </c>
      <c r="AY46" s="337">
        <v>0.28999999999999998</v>
      </c>
      <c r="AZ46" s="354">
        <v>0.24</v>
      </c>
      <c r="BA46" s="274">
        <v>0.18</v>
      </c>
      <c r="BB46" s="310">
        <v>0.14000000000000001</v>
      </c>
      <c r="BC46" s="678">
        <v>0.09</v>
      </c>
      <c r="BD46" s="679">
        <v>0.06</v>
      </c>
      <c r="BE46" s="394">
        <v>0.03</v>
      </c>
      <c r="BF46" s="680">
        <v>0.01</v>
      </c>
      <c r="BG46" s="279">
        <v>0</v>
      </c>
      <c r="BH46" s="307">
        <v>0</v>
      </c>
      <c r="BI46" s="320">
        <v>0</v>
      </c>
      <c r="BJ46" s="260"/>
      <c r="BK46" s="260"/>
      <c r="BL46" s="269" t="s">
        <v>2</v>
      </c>
      <c r="BM46" s="270">
        <v>111850438</v>
      </c>
      <c r="BN46" s="270">
        <v>59635518</v>
      </c>
      <c r="BO46" s="668">
        <v>0.56999999999999995</v>
      </c>
      <c r="BP46" s="677">
        <v>0.51</v>
      </c>
      <c r="BQ46" s="681">
        <v>0.45</v>
      </c>
      <c r="BR46" s="423">
        <v>0.39</v>
      </c>
      <c r="BS46" s="323">
        <v>0.33</v>
      </c>
      <c r="BT46" s="353">
        <v>0.28000000000000003</v>
      </c>
      <c r="BU46" s="370">
        <v>0.23</v>
      </c>
      <c r="BV46" s="355">
        <v>0.18</v>
      </c>
      <c r="BW46" s="682">
        <v>0.13</v>
      </c>
      <c r="BX46" s="400">
        <v>0.09</v>
      </c>
      <c r="BY46" s="654">
        <v>0.05</v>
      </c>
      <c r="BZ46" s="683">
        <v>0.03</v>
      </c>
      <c r="CA46" s="684">
        <v>0.01</v>
      </c>
      <c r="CB46" s="312">
        <v>0</v>
      </c>
      <c r="CC46" s="333">
        <v>0</v>
      </c>
      <c r="CD46" s="320">
        <v>0</v>
      </c>
    </row>
    <row r="47" spans="1:82" x14ac:dyDescent="0.2">
      <c r="A47" s="260"/>
      <c r="B47" s="269" t="s">
        <v>3</v>
      </c>
      <c r="C47" s="270">
        <v>477796928</v>
      </c>
      <c r="D47" s="270">
        <v>234399775</v>
      </c>
      <c r="E47" s="681">
        <v>0.45</v>
      </c>
      <c r="F47" s="313">
        <v>0.44</v>
      </c>
      <c r="G47" s="685">
        <v>0.42</v>
      </c>
      <c r="H47" s="423">
        <v>0.4</v>
      </c>
      <c r="I47" s="417">
        <v>0.38</v>
      </c>
      <c r="J47" s="364">
        <v>0.35</v>
      </c>
      <c r="K47" s="385">
        <v>0.33</v>
      </c>
      <c r="L47" s="379">
        <v>0.3</v>
      </c>
      <c r="M47" s="329">
        <v>0.27</v>
      </c>
      <c r="N47" s="317">
        <v>0.23</v>
      </c>
      <c r="O47" s="303">
        <v>0.2</v>
      </c>
      <c r="P47" s="405">
        <v>0.16</v>
      </c>
      <c r="Q47" s="391">
        <v>0.11</v>
      </c>
      <c r="R47" s="437">
        <v>0.06</v>
      </c>
      <c r="S47" s="328">
        <v>0.01</v>
      </c>
      <c r="T47" s="320">
        <v>0</v>
      </c>
      <c r="U47" s="283"/>
      <c r="V47" s="269" t="s">
        <v>3</v>
      </c>
      <c r="W47" s="270">
        <v>477796928</v>
      </c>
      <c r="X47" s="270">
        <v>234399775</v>
      </c>
      <c r="Y47" s="350">
        <v>0.45</v>
      </c>
      <c r="Z47" s="313">
        <v>0.44</v>
      </c>
      <c r="AA47" s="300">
        <v>0.42</v>
      </c>
      <c r="AB47" s="423">
        <v>0.39</v>
      </c>
      <c r="AC47" s="686">
        <v>0.37</v>
      </c>
      <c r="AD47" s="364">
        <v>0.35</v>
      </c>
      <c r="AE47" s="316">
        <v>0.32</v>
      </c>
      <c r="AF47" s="337">
        <v>0.28999999999999998</v>
      </c>
      <c r="AG47" s="653">
        <v>0.26</v>
      </c>
      <c r="AH47" s="292">
        <v>0.23</v>
      </c>
      <c r="AI47" s="675">
        <v>0.19</v>
      </c>
      <c r="AJ47" s="293">
        <v>0.15</v>
      </c>
      <c r="AK47" s="399">
        <v>0.1</v>
      </c>
      <c r="AL47" s="318">
        <v>0.06</v>
      </c>
      <c r="AM47" s="312">
        <v>0</v>
      </c>
      <c r="AN47" s="320">
        <v>0</v>
      </c>
      <c r="AO47" s="260"/>
      <c r="AP47" s="260"/>
      <c r="AQ47" s="269" t="s">
        <v>3</v>
      </c>
      <c r="AR47" s="270">
        <v>477796928</v>
      </c>
      <c r="AS47" s="270">
        <v>234399775</v>
      </c>
      <c r="AT47" s="350">
        <v>0.45</v>
      </c>
      <c r="AU47" s="313">
        <v>0.44</v>
      </c>
      <c r="AV47" s="300">
        <v>0.41</v>
      </c>
      <c r="AW47" s="423">
        <v>0.39</v>
      </c>
      <c r="AX47" s="686">
        <v>0.37</v>
      </c>
      <c r="AY47" s="364">
        <v>0.34</v>
      </c>
      <c r="AZ47" s="316">
        <v>0.32</v>
      </c>
      <c r="BA47" s="337">
        <v>0.28999999999999998</v>
      </c>
      <c r="BB47" s="653">
        <v>0.26</v>
      </c>
      <c r="BC47" s="292">
        <v>0.22</v>
      </c>
      <c r="BD47" s="675">
        <v>0.19</v>
      </c>
      <c r="BE47" s="293">
        <v>0.14000000000000001</v>
      </c>
      <c r="BF47" s="687">
        <v>0.1</v>
      </c>
      <c r="BG47" s="326">
        <v>0.05</v>
      </c>
      <c r="BH47" s="288">
        <v>0</v>
      </c>
      <c r="BI47" s="320">
        <v>0</v>
      </c>
      <c r="BJ47" s="260"/>
      <c r="BK47" s="260"/>
      <c r="BL47" s="269" t="s">
        <v>3</v>
      </c>
      <c r="BM47" s="270">
        <v>477796928</v>
      </c>
      <c r="BN47" s="270">
        <v>234399775</v>
      </c>
      <c r="BO47" s="384">
        <v>0.45</v>
      </c>
      <c r="BP47" s="313">
        <v>0.43</v>
      </c>
      <c r="BQ47" s="300">
        <v>0.41</v>
      </c>
      <c r="BR47" s="423">
        <v>0.39</v>
      </c>
      <c r="BS47" s="686">
        <v>0.37</v>
      </c>
      <c r="BT47" s="364">
        <v>0.34</v>
      </c>
      <c r="BU47" s="316">
        <v>0.31</v>
      </c>
      <c r="BV47" s="302">
        <v>0.28000000000000003</v>
      </c>
      <c r="BW47" s="653">
        <v>0.25</v>
      </c>
      <c r="BX47" s="430">
        <v>0.22</v>
      </c>
      <c r="BY47" s="274">
        <v>0.18</v>
      </c>
      <c r="BZ47" s="293">
        <v>0.14000000000000001</v>
      </c>
      <c r="CA47" s="434">
        <v>0.1</v>
      </c>
      <c r="CB47" s="643">
        <v>0.05</v>
      </c>
      <c r="CC47" s="288">
        <v>0</v>
      </c>
      <c r="CD47" s="320">
        <v>0</v>
      </c>
    </row>
    <row r="48" spans="1:82" x14ac:dyDescent="0.2">
      <c r="A48" s="260"/>
      <c r="B48" s="269" t="s">
        <v>4</v>
      </c>
      <c r="C48" s="270">
        <v>164227661</v>
      </c>
      <c r="D48" s="270">
        <v>96491379</v>
      </c>
      <c r="E48" s="357">
        <v>0.62</v>
      </c>
      <c r="F48" s="688">
        <v>0.57999999999999996</v>
      </c>
      <c r="G48" s="689">
        <v>0.53</v>
      </c>
      <c r="H48" s="690">
        <v>0.49</v>
      </c>
      <c r="I48" s="374">
        <v>0.44</v>
      </c>
      <c r="J48" s="456">
        <v>0.39</v>
      </c>
      <c r="K48" s="323">
        <v>0.34</v>
      </c>
      <c r="L48" s="302">
        <v>0.28999999999999998</v>
      </c>
      <c r="M48" s="370">
        <v>0.24</v>
      </c>
      <c r="N48" s="445">
        <v>0.19</v>
      </c>
      <c r="O48" s="691">
        <v>0.13</v>
      </c>
      <c r="P48" s="457">
        <v>0.08</v>
      </c>
      <c r="Q48" s="649">
        <v>0.04</v>
      </c>
      <c r="R48" s="312">
        <v>0.01</v>
      </c>
      <c r="S48" s="280">
        <v>0</v>
      </c>
      <c r="T48" s="320">
        <v>0</v>
      </c>
      <c r="U48" s="283"/>
      <c r="V48" s="269" t="s">
        <v>4</v>
      </c>
      <c r="W48" s="270">
        <v>164227661</v>
      </c>
      <c r="X48" s="270">
        <v>96491379</v>
      </c>
      <c r="Y48" s="357">
        <v>0.62</v>
      </c>
      <c r="Z48" s="334">
        <v>0.56999999999999995</v>
      </c>
      <c r="AA48" s="692">
        <v>0.53</v>
      </c>
      <c r="AB48" s="349">
        <v>0.48</v>
      </c>
      <c r="AC48" s="336">
        <v>0.43</v>
      </c>
      <c r="AD48" s="414">
        <v>0.38</v>
      </c>
      <c r="AE48" s="450">
        <v>0.33</v>
      </c>
      <c r="AF48" s="291">
        <v>0.28000000000000003</v>
      </c>
      <c r="AG48" s="430">
        <v>0.22</v>
      </c>
      <c r="AH48" s="338">
        <v>0.17</v>
      </c>
      <c r="AI48" s="389">
        <v>0.12</v>
      </c>
      <c r="AJ48" s="693">
        <v>7.0000000000000007E-2</v>
      </c>
      <c r="AK48" s="421">
        <v>0.03</v>
      </c>
      <c r="AL48" s="328">
        <v>0.01</v>
      </c>
      <c r="AM48" s="280">
        <v>0</v>
      </c>
      <c r="AN48" s="694">
        <v>6.0000000000000001E-3</v>
      </c>
      <c r="AO48" s="260"/>
      <c r="AP48" s="260"/>
      <c r="AQ48" s="269" t="s">
        <v>4</v>
      </c>
      <c r="AR48" s="270">
        <v>164227661</v>
      </c>
      <c r="AS48" s="270">
        <v>96491379</v>
      </c>
      <c r="AT48" s="357">
        <v>0.62</v>
      </c>
      <c r="AU48" s="334">
        <v>0.56999999999999995</v>
      </c>
      <c r="AV48" s="695">
        <v>0.53</v>
      </c>
      <c r="AW48" s="696">
        <v>0.48</v>
      </c>
      <c r="AX48" s="351">
        <v>0.43</v>
      </c>
      <c r="AY48" s="289">
        <v>0.38</v>
      </c>
      <c r="AZ48" s="290">
        <v>0.32</v>
      </c>
      <c r="BA48" s="365">
        <v>0.27</v>
      </c>
      <c r="BB48" s="646">
        <v>0.22</v>
      </c>
      <c r="BC48" s="403">
        <v>0.17</v>
      </c>
      <c r="BD48" s="697">
        <v>0.12</v>
      </c>
      <c r="BE48" s="407">
        <v>7.0000000000000007E-2</v>
      </c>
      <c r="BF48" s="421">
        <v>0.03</v>
      </c>
      <c r="BG48" s="395">
        <v>0.01</v>
      </c>
      <c r="BH48" s="280">
        <v>0</v>
      </c>
      <c r="BI48" s="698">
        <v>3.0000000000000001E-3</v>
      </c>
      <c r="BJ48" s="260"/>
      <c r="BK48" s="260"/>
      <c r="BL48" s="269" t="s">
        <v>4</v>
      </c>
      <c r="BM48" s="270">
        <v>164227661</v>
      </c>
      <c r="BN48" s="270">
        <v>96491379</v>
      </c>
      <c r="BO48" s="357">
        <v>0.62</v>
      </c>
      <c r="BP48" s="334">
        <v>0.56999999999999995</v>
      </c>
      <c r="BQ48" s="695">
        <v>0.52</v>
      </c>
      <c r="BR48" s="699">
        <v>0.47</v>
      </c>
      <c r="BS48" s="360">
        <v>0.42</v>
      </c>
      <c r="BT48" s="686">
        <v>0.37</v>
      </c>
      <c r="BU48" s="316">
        <v>0.31</v>
      </c>
      <c r="BV48" s="324">
        <v>0.26</v>
      </c>
      <c r="BW48" s="424">
        <v>0.21</v>
      </c>
      <c r="BX48" s="446">
        <v>0.16</v>
      </c>
      <c r="BY48" s="700">
        <v>0.11</v>
      </c>
      <c r="BZ48" s="701">
        <v>7.0000000000000007E-2</v>
      </c>
      <c r="CA48" s="421">
        <v>0.03</v>
      </c>
      <c r="CB48" s="702">
        <v>0.01</v>
      </c>
      <c r="CC48" s="333">
        <v>0</v>
      </c>
      <c r="CD48" s="320">
        <v>0</v>
      </c>
    </row>
    <row r="49" spans="1:82" x14ac:dyDescent="0.2">
      <c r="A49" s="260"/>
      <c r="B49" s="269" t="s">
        <v>5</v>
      </c>
      <c r="C49" s="270">
        <v>407962628</v>
      </c>
      <c r="D49" s="270">
        <v>187745918</v>
      </c>
      <c r="E49" s="384">
        <v>0.46</v>
      </c>
      <c r="F49" s="374">
        <v>0.44</v>
      </c>
      <c r="G49" s="300">
        <v>0.42</v>
      </c>
      <c r="H49" s="423">
        <v>0.4</v>
      </c>
      <c r="I49" s="686">
        <v>0.37</v>
      </c>
      <c r="J49" s="418">
        <v>0.35</v>
      </c>
      <c r="K49" s="316">
        <v>0.32</v>
      </c>
      <c r="L49" s="302">
        <v>0.28999999999999998</v>
      </c>
      <c r="M49" s="426">
        <v>0.26</v>
      </c>
      <c r="N49" s="646">
        <v>0.23</v>
      </c>
      <c r="O49" s="355">
        <v>0.19</v>
      </c>
      <c r="P49" s="284">
        <v>0.15</v>
      </c>
      <c r="Q49" s="678">
        <v>0.1</v>
      </c>
      <c r="R49" s="667">
        <v>0.05</v>
      </c>
      <c r="S49" s="333">
        <v>0</v>
      </c>
      <c r="T49" s="320">
        <v>0</v>
      </c>
      <c r="U49" s="283"/>
      <c r="V49" s="269" t="s">
        <v>5</v>
      </c>
      <c r="W49" s="270">
        <v>407962628</v>
      </c>
      <c r="X49" s="270">
        <v>187745918</v>
      </c>
      <c r="Y49" s="384">
        <v>0.46</v>
      </c>
      <c r="Z49" s="374">
        <v>0.44</v>
      </c>
      <c r="AA49" s="300">
        <v>0.42</v>
      </c>
      <c r="AB49" s="423">
        <v>0.4</v>
      </c>
      <c r="AC49" s="417">
        <v>0.37</v>
      </c>
      <c r="AD49" s="418">
        <v>0.35</v>
      </c>
      <c r="AE49" s="316">
        <v>0.32</v>
      </c>
      <c r="AF49" s="353">
        <v>0.28999999999999998</v>
      </c>
      <c r="AG49" s="344">
        <v>0.25</v>
      </c>
      <c r="AH49" s="646">
        <v>0.22</v>
      </c>
      <c r="AI49" s="445">
        <v>0.18</v>
      </c>
      <c r="AJ49" s="275">
        <v>0.14000000000000001</v>
      </c>
      <c r="AK49" s="703">
        <v>0.09</v>
      </c>
      <c r="AL49" s="704">
        <v>0.05</v>
      </c>
      <c r="AM49" s="280">
        <v>0</v>
      </c>
      <c r="AN49" s="705">
        <v>3.0000000000000001E-3</v>
      </c>
      <c r="AO49" s="260"/>
      <c r="AP49" s="260"/>
      <c r="AQ49" s="269" t="s">
        <v>5</v>
      </c>
      <c r="AR49" s="270">
        <v>407962628</v>
      </c>
      <c r="AS49" s="270">
        <v>187745918</v>
      </c>
      <c r="AT49" s="341">
        <v>0.46</v>
      </c>
      <c r="AU49" s="374">
        <v>0.44</v>
      </c>
      <c r="AV49" s="360">
        <v>0.42</v>
      </c>
      <c r="AW49" s="423">
        <v>0.4</v>
      </c>
      <c r="AX49" s="417">
        <v>0.37</v>
      </c>
      <c r="AY49" s="364">
        <v>0.34</v>
      </c>
      <c r="AZ49" s="316">
        <v>0.32</v>
      </c>
      <c r="BA49" s="302">
        <v>0.28999999999999998</v>
      </c>
      <c r="BB49" s="344">
        <v>0.25</v>
      </c>
      <c r="BC49" s="646">
        <v>0.22</v>
      </c>
      <c r="BD49" s="355">
        <v>0.18</v>
      </c>
      <c r="BE49" s="284">
        <v>0.14000000000000001</v>
      </c>
      <c r="BF49" s="703">
        <v>0.09</v>
      </c>
      <c r="BG49" s="704">
        <v>0.05</v>
      </c>
      <c r="BH49" s="280">
        <v>0</v>
      </c>
      <c r="BI49" s="706">
        <v>4.0000000000000001E-3</v>
      </c>
      <c r="BJ49" s="260"/>
      <c r="BK49" s="260"/>
      <c r="BL49" s="269" t="s">
        <v>5</v>
      </c>
      <c r="BM49" s="270">
        <v>407962628</v>
      </c>
      <c r="BN49" s="270">
        <v>187745918</v>
      </c>
      <c r="BO49" s="341">
        <v>0.46</v>
      </c>
      <c r="BP49" s="707">
        <v>0.44</v>
      </c>
      <c r="BQ49" s="360">
        <v>0.42</v>
      </c>
      <c r="BR49" s="314">
        <v>0.39</v>
      </c>
      <c r="BS49" s="417">
        <v>0.37</v>
      </c>
      <c r="BT49" s="364">
        <v>0.34</v>
      </c>
      <c r="BU49" s="316">
        <v>0.31</v>
      </c>
      <c r="BV49" s="302">
        <v>0.28000000000000003</v>
      </c>
      <c r="BW49" s="344">
        <v>0.25</v>
      </c>
      <c r="BX49" s="646">
        <v>0.21</v>
      </c>
      <c r="BY49" s="355">
        <v>0.17</v>
      </c>
      <c r="BZ49" s="310">
        <v>0.13</v>
      </c>
      <c r="CA49" s="703">
        <v>0.09</v>
      </c>
      <c r="CB49" s="708">
        <v>0.04</v>
      </c>
      <c r="CC49" s="280">
        <v>0</v>
      </c>
      <c r="CD49" s="694">
        <v>5.0000000000000001E-3</v>
      </c>
    </row>
    <row r="50" spans="1:82" x14ac:dyDescent="0.2">
      <c r="A50" s="260"/>
      <c r="B50" s="269" t="s">
        <v>6</v>
      </c>
      <c r="C50" s="270">
        <v>295355340</v>
      </c>
      <c r="D50" s="270">
        <v>30753929</v>
      </c>
      <c r="E50" s="425">
        <v>0.1</v>
      </c>
      <c r="F50" s="709">
        <v>0.09</v>
      </c>
      <c r="G50" s="305">
        <v>0.09</v>
      </c>
      <c r="H50" s="710">
        <v>0.08</v>
      </c>
      <c r="I50" s="407">
        <v>0.08</v>
      </c>
      <c r="J50" s="711">
        <v>7.0000000000000007E-2</v>
      </c>
      <c r="K50" s="712">
        <v>0.06</v>
      </c>
      <c r="L50" s="326">
        <v>0.06</v>
      </c>
      <c r="M50" s="713">
        <v>0.05</v>
      </c>
      <c r="N50" s="714">
        <v>0.04</v>
      </c>
      <c r="O50" s="674">
        <v>0.03</v>
      </c>
      <c r="P50" s="372">
        <v>0.02</v>
      </c>
      <c r="Q50" s="645">
        <v>0.02</v>
      </c>
      <c r="R50" s="296">
        <v>0.01</v>
      </c>
      <c r="S50" s="280">
        <v>0</v>
      </c>
      <c r="T50" s="320">
        <v>0</v>
      </c>
      <c r="U50" s="283"/>
      <c r="V50" s="269" t="s">
        <v>6</v>
      </c>
      <c r="W50" s="270">
        <v>295355340</v>
      </c>
      <c r="X50" s="270">
        <v>30753929</v>
      </c>
      <c r="Y50" s="678">
        <v>0.1</v>
      </c>
      <c r="Z50" s="400">
        <v>0.09</v>
      </c>
      <c r="AA50" s="425">
        <v>0.09</v>
      </c>
      <c r="AB50" s="412">
        <v>0.09</v>
      </c>
      <c r="AC50" s="715">
        <v>0.09</v>
      </c>
      <c r="AD50" s="662">
        <v>0.08</v>
      </c>
      <c r="AE50" s="449">
        <v>0.08</v>
      </c>
      <c r="AF50" s="701">
        <v>7.0000000000000007E-2</v>
      </c>
      <c r="AG50" s="716">
        <v>0.06</v>
      </c>
      <c r="AH50" s="717">
        <v>0.06</v>
      </c>
      <c r="AI50" s="713">
        <v>0.05</v>
      </c>
      <c r="AJ50" s="649">
        <v>0.04</v>
      </c>
      <c r="AK50" s="718">
        <v>0.02</v>
      </c>
      <c r="AL50" s="297">
        <v>0.01</v>
      </c>
      <c r="AM50" s="280">
        <v>0</v>
      </c>
      <c r="AN50" s="706">
        <v>4.0000000000000001E-3</v>
      </c>
      <c r="AO50" s="260"/>
      <c r="AP50" s="260"/>
      <c r="AQ50" s="269" t="s">
        <v>6</v>
      </c>
      <c r="AR50" s="270">
        <v>295355340</v>
      </c>
      <c r="AS50" s="270">
        <v>30753929</v>
      </c>
      <c r="AT50" s="719">
        <v>0.1</v>
      </c>
      <c r="AU50" s="720">
        <v>0.1</v>
      </c>
      <c r="AV50" s="721">
        <v>0.09</v>
      </c>
      <c r="AW50" s="703">
        <v>0.09</v>
      </c>
      <c r="AX50" s="435">
        <v>0.09</v>
      </c>
      <c r="AY50" s="722">
        <v>0.08</v>
      </c>
      <c r="AZ50" s="311">
        <v>0.08</v>
      </c>
      <c r="BA50" s="449">
        <v>7.0000000000000007E-2</v>
      </c>
      <c r="BB50" s="401">
        <v>7.0000000000000007E-2</v>
      </c>
      <c r="BC50" s="723">
        <v>0.06</v>
      </c>
      <c r="BD50" s="724">
        <v>0.05</v>
      </c>
      <c r="BE50" s="277">
        <v>0.04</v>
      </c>
      <c r="BF50" s="725">
        <v>0.03</v>
      </c>
      <c r="BG50" s="278">
        <v>0.01</v>
      </c>
      <c r="BH50" s="280">
        <v>0</v>
      </c>
      <c r="BI50" s="665">
        <v>5.0000000000000001E-3</v>
      </c>
      <c r="BJ50" s="260"/>
      <c r="BK50" s="260"/>
      <c r="BL50" s="269" t="s">
        <v>6</v>
      </c>
      <c r="BM50" s="270">
        <v>295355340</v>
      </c>
      <c r="BN50" s="270">
        <v>30753929</v>
      </c>
      <c r="BO50" s="726">
        <v>0.1</v>
      </c>
      <c r="BP50" s="399">
        <v>0.1</v>
      </c>
      <c r="BQ50" s="399">
        <v>0.1</v>
      </c>
      <c r="BR50" s="726">
        <v>0.1</v>
      </c>
      <c r="BS50" s="727">
        <v>0.09</v>
      </c>
      <c r="BT50" s="676">
        <v>0.09</v>
      </c>
      <c r="BU50" s="703">
        <v>0.09</v>
      </c>
      <c r="BV50" s="709">
        <v>0.08</v>
      </c>
      <c r="BW50" s="442">
        <v>0.08</v>
      </c>
      <c r="BX50" s="728">
        <v>7.0000000000000007E-2</v>
      </c>
      <c r="BY50" s="712">
        <v>0.06</v>
      </c>
      <c r="BZ50" s="729">
        <v>0.05</v>
      </c>
      <c r="CA50" s="402">
        <v>0.03</v>
      </c>
      <c r="CB50" s="730">
        <v>0.02</v>
      </c>
      <c r="CC50" s="280">
        <v>0</v>
      </c>
      <c r="CD50" s="665">
        <v>4.0000000000000001E-3</v>
      </c>
    </row>
    <row r="51" spans="1:82" x14ac:dyDescent="0.2">
      <c r="A51" s="260"/>
      <c r="B51" s="269" t="s">
        <v>7</v>
      </c>
      <c r="C51" s="270">
        <v>328852284</v>
      </c>
      <c r="D51" s="270">
        <v>133280716</v>
      </c>
      <c r="E51" s="731">
        <v>0.39</v>
      </c>
      <c r="F51" s="686">
        <v>0.37</v>
      </c>
      <c r="G51" s="271">
        <v>0.36</v>
      </c>
      <c r="H51" s="309">
        <v>0.34</v>
      </c>
      <c r="I51" s="732">
        <v>0.31</v>
      </c>
      <c r="J51" s="353">
        <v>0.28999999999999998</v>
      </c>
      <c r="K51" s="653">
        <v>0.26</v>
      </c>
      <c r="L51" s="370">
        <v>0.24</v>
      </c>
      <c r="M51" s="451">
        <v>0.21</v>
      </c>
      <c r="N51" s="338">
        <v>0.18</v>
      </c>
      <c r="O51" s="682">
        <v>0.14000000000000001</v>
      </c>
      <c r="P51" s="399">
        <v>0.11</v>
      </c>
      <c r="Q51" s="733">
        <v>7.0000000000000007E-2</v>
      </c>
      <c r="R51" s="394">
        <v>0.03</v>
      </c>
      <c r="S51" s="280">
        <v>0</v>
      </c>
      <c r="T51" s="320">
        <v>0</v>
      </c>
      <c r="U51" s="283"/>
      <c r="V51" s="269" t="s">
        <v>7</v>
      </c>
      <c r="W51" s="270">
        <v>328852284</v>
      </c>
      <c r="X51" s="270">
        <v>133280716</v>
      </c>
      <c r="Y51" s="456">
        <v>0.39</v>
      </c>
      <c r="Z51" s="417">
        <v>0.37</v>
      </c>
      <c r="AA51" s="734">
        <v>0.35</v>
      </c>
      <c r="AB51" s="309">
        <v>0.33</v>
      </c>
      <c r="AC51" s="732">
        <v>0.31</v>
      </c>
      <c r="AD51" s="353">
        <v>0.28999999999999998</v>
      </c>
      <c r="AE51" s="653">
        <v>0.26</v>
      </c>
      <c r="AF51" s="370">
        <v>0.23</v>
      </c>
      <c r="AG51" s="451">
        <v>0.2</v>
      </c>
      <c r="AH51" s="338">
        <v>0.17</v>
      </c>
      <c r="AI51" s="682">
        <v>0.14000000000000001</v>
      </c>
      <c r="AJ51" s="434">
        <v>0.1</v>
      </c>
      <c r="AK51" s="735">
        <v>0.06</v>
      </c>
      <c r="AL51" s="306">
        <v>0.03</v>
      </c>
      <c r="AM51" s="280">
        <v>0</v>
      </c>
      <c r="AN51" s="666">
        <v>1E-3</v>
      </c>
      <c r="AO51" s="260"/>
      <c r="AP51" s="260"/>
      <c r="AQ51" s="269" t="s">
        <v>7</v>
      </c>
      <c r="AR51" s="270">
        <v>328852284</v>
      </c>
      <c r="AS51" s="270">
        <v>133280716</v>
      </c>
      <c r="AT51" s="423">
        <v>0.39</v>
      </c>
      <c r="AU51" s="289">
        <v>0.37</v>
      </c>
      <c r="AV51" s="734">
        <v>0.35</v>
      </c>
      <c r="AW51" s="309">
        <v>0.33</v>
      </c>
      <c r="AX51" s="732">
        <v>0.31</v>
      </c>
      <c r="AY51" s="353">
        <v>0.28000000000000003</v>
      </c>
      <c r="AZ51" s="653">
        <v>0.26</v>
      </c>
      <c r="BA51" s="370">
        <v>0.23</v>
      </c>
      <c r="BB51" s="451">
        <v>0.2</v>
      </c>
      <c r="BC51" s="338">
        <v>0.17</v>
      </c>
      <c r="BD51" s="275">
        <v>0.14000000000000001</v>
      </c>
      <c r="BE51" s="726">
        <v>0.1</v>
      </c>
      <c r="BF51" s="735">
        <v>0.06</v>
      </c>
      <c r="BG51" s="306">
        <v>0.03</v>
      </c>
      <c r="BH51" s="280">
        <v>0</v>
      </c>
      <c r="BI51" s="698">
        <v>3.0000000000000001E-3</v>
      </c>
      <c r="BJ51" s="260"/>
      <c r="BK51" s="260"/>
      <c r="BL51" s="269" t="s">
        <v>7</v>
      </c>
      <c r="BM51" s="270">
        <v>328852284</v>
      </c>
      <c r="BN51" s="270">
        <v>133280716</v>
      </c>
      <c r="BO51" s="423">
        <v>0.39</v>
      </c>
      <c r="BP51" s="289">
        <v>0.37</v>
      </c>
      <c r="BQ51" s="315">
        <v>0.35</v>
      </c>
      <c r="BR51" s="301">
        <v>0.33</v>
      </c>
      <c r="BS51" s="736">
        <v>0.31</v>
      </c>
      <c r="BT51" s="302">
        <v>0.28000000000000003</v>
      </c>
      <c r="BU51" s="329">
        <v>0.26</v>
      </c>
      <c r="BV51" s="370">
        <v>0.23</v>
      </c>
      <c r="BW51" s="451">
        <v>0.2</v>
      </c>
      <c r="BX51" s="338">
        <v>0.16</v>
      </c>
      <c r="BY51" s="284">
        <v>0.13</v>
      </c>
      <c r="BZ51" s="726">
        <v>0.1</v>
      </c>
      <c r="CA51" s="673">
        <v>0.06</v>
      </c>
      <c r="CB51" s="725">
        <v>0.03</v>
      </c>
      <c r="CC51" s="280">
        <v>0</v>
      </c>
      <c r="CD51" s="737">
        <v>7.0000000000000001E-3</v>
      </c>
    </row>
    <row r="52" spans="1:82" x14ac:dyDescent="0.2">
      <c r="A52" s="260"/>
      <c r="B52" s="269" t="s">
        <v>8</v>
      </c>
      <c r="C52" s="270">
        <v>910487339</v>
      </c>
      <c r="D52" s="270">
        <v>321724914</v>
      </c>
      <c r="E52" s="414">
        <v>0.38</v>
      </c>
      <c r="F52" s="369">
        <v>0.37</v>
      </c>
      <c r="G52" s="734">
        <v>0.36</v>
      </c>
      <c r="H52" s="323">
        <v>0.34</v>
      </c>
      <c r="I52" s="290">
        <v>0.33</v>
      </c>
      <c r="J52" s="429">
        <v>0.31</v>
      </c>
      <c r="K52" s="302">
        <v>0.28999999999999998</v>
      </c>
      <c r="L52" s="738">
        <v>0.28000000000000003</v>
      </c>
      <c r="M52" s="376">
        <v>0.25</v>
      </c>
      <c r="N52" s="430">
        <v>0.23</v>
      </c>
      <c r="O52" s="420">
        <v>0.2</v>
      </c>
      <c r="P52" s="446">
        <v>0.17</v>
      </c>
      <c r="Q52" s="691">
        <v>0.13</v>
      </c>
      <c r="R52" s="715">
        <v>0.09</v>
      </c>
      <c r="S52" s="683">
        <v>0.03</v>
      </c>
      <c r="T52" s="320">
        <v>0</v>
      </c>
      <c r="U52" s="283"/>
      <c r="V52" s="269" t="s">
        <v>8</v>
      </c>
      <c r="W52" s="270">
        <v>910487339</v>
      </c>
      <c r="X52" s="270">
        <v>321724914</v>
      </c>
      <c r="Y52" s="739">
        <v>0.38</v>
      </c>
      <c r="Z52" s="417">
        <v>0.37</v>
      </c>
      <c r="AA52" s="315">
        <v>0.36</v>
      </c>
      <c r="AB52" s="364">
        <v>0.35</v>
      </c>
      <c r="AC52" s="450">
        <v>0.33</v>
      </c>
      <c r="AD52" s="419">
        <v>0.31</v>
      </c>
      <c r="AE52" s="272">
        <v>0.3</v>
      </c>
      <c r="AF52" s="361">
        <v>0.28000000000000003</v>
      </c>
      <c r="AG52" s="344">
        <v>0.25</v>
      </c>
      <c r="AH52" s="317">
        <v>0.23</v>
      </c>
      <c r="AI52" s="345">
        <v>0.2</v>
      </c>
      <c r="AJ52" s="403">
        <v>0.17</v>
      </c>
      <c r="AK52" s="740">
        <v>0.13</v>
      </c>
      <c r="AL52" s="294">
        <v>0.09</v>
      </c>
      <c r="AM52" s="741">
        <v>0.03</v>
      </c>
      <c r="AN52" s="320">
        <v>0</v>
      </c>
      <c r="AO52" s="260"/>
      <c r="AP52" s="260"/>
      <c r="AQ52" s="269" t="s">
        <v>8</v>
      </c>
      <c r="AR52" s="270">
        <v>910487339</v>
      </c>
      <c r="AS52" s="270">
        <v>321724914</v>
      </c>
      <c r="AT52" s="739">
        <v>0.38</v>
      </c>
      <c r="AU52" s="417">
        <v>0.37</v>
      </c>
      <c r="AV52" s="352">
        <v>0.36</v>
      </c>
      <c r="AW52" s="364">
        <v>0.35</v>
      </c>
      <c r="AX52" s="309">
        <v>0.33</v>
      </c>
      <c r="AY52" s="316">
        <v>0.32</v>
      </c>
      <c r="AZ52" s="343">
        <v>0.3</v>
      </c>
      <c r="BA52" s="361">
        <v>0.28000000000000003</v>
      </c>
      <c r="BB52" s="426">
        <v>0.25</v>
      </c>
      <c r="BC52" s="370">
        <v>0.23</v>
      </c>
      <c r="BD52" s="451">
        <v>0.2</v>
      </c>
      <c r="BE52" s="338">
        <v>0.17</v>
      </c>
      <c r="BF52" s="438">
        <v>0.13</v>
      </c>
      <c r="BG52" s="709">
        <v>0.09</v>
      </c>
      <c r="BH52" s="306">
        <v>0.03</v>
      </c>
      <c r="BI52" s="320">
        <v>0</v>
      </c>
      <c r="BJ52" s="260"/>
      <c r="BK52" s="260"/>
      <c r="BL52" s="269" t="s">
        <v>8</v>
      </c>
      <c r="BM52" s="270">
        <v>910487339</v>
      </c>
      <c r="BN52" s="270">
        <v>321724914</v>
      </c>
      <c r="BO52" s="427">
        <v>0.38</v>
      </c>
      <c r="BP52" s="289">
        <v>0.37</v>
      </c>
      <c r="BQ52" s="742">
        <v>0.36</v>
      </c>
      <c r="BR52" s="271">
        <v>0.35</v>
      </c>
      <c r="BS52" s="301">
        <v>0.33</v>
      </c>
      <c r="BT52" s="385">
        <v>0.32</v>
      </c>
      <c r="BU52" s="671">
        <v>0.3</v>
      </c>
      <c r="BV52" s="353">
        <v>0.28000000000000003</v>
      </c>
      <c r="BW52" s="329">
        <v>0.26</v>
      </c>
      <c r="BX52" s="354">
        <v>0.23</v>
      </c>
      <c r="BY52" s="743">
        <v>0.2</v>
      </c>
      <c r="BZ52" s="387">
        <v>0.17</v>
      </c>
      <c r="CA52" s="682">
        <v>0.13</v>
      </c>
      <c r="CB52" s="412">
        <v>0.08</v>
      </c>
      <c r="CC52" s="725">
        <v>0.03</v>
      </c>
      <c r="CD52" s="320">
        <v>0</v>
      </c>
    </row>
    <row r="53" spans="1:82" x14ac:dyDescent="0.2">
      <c r="A53" s="260"/>
      <c r="B53" s="269" t="s">
        <v>9</v>
      </c>
      <c r="C53" s="270">
        <v>92705417</v>
      </c>
      <c r="D53" s="270">
        <v>27802728</v>
      </c>
      <c r="E53" s="343">
        <v>0.3</v>
      </c>
      <c r="F53" s="324">
        <v>0.27</v>
      </c>
      <c r="G53" s="354">
        <v>0.24</v>
      </c>
      <c r="H53" s="451">
        <v>0.21</v>
      </c>
      <c r="I53" s="338">
        <v>0.18</v>
      </c>
      <c r="J53" s="310">
        <v>0.15</v>
      </c>
      <c r="K53" s="440">
        <v>0.12</v>
      </c>
      <c r="L53" s="294">
        <v>0.09</v>
      </c>
      <c r="M53" s="723">
        <v>0.06</v>
      </c>
      <c r="N53" s="714">
        <v>0.04</v>
      </c>
      <c r="O53" s="340">
        <v>0.02</v>
      </c>
      <c r="P53" s="327">
        <v>0.01</v>
      </c>
      <c r="Q53" s="333">
        <v>0</v>
      </c>
      <c r="R53" s="280">
        <v>0</v>
      </c>
      <c r="S53" s="280">
        <v>0</v>
      </c>
      <c r="T53" s="320">
        <v>0</v>
      </c>
      <c r="U53" s="283"/>
      <c r="V53" s="269" t="s">
        <v>9</v>
      </c>
      <c r="W53" s="270">
        <v>92705417</v>
      </c>
      <c r="X53" s="270">
        <v>27802728</v>
      </c>
      <c r="Y53" s="671">
        <v>0.3</v>
      </c>
      <c r="Z53" s="738">
        <v>0.27</v>
      </c>
      <c r="AA53" s="354">
        <v>0.24</v>
      </c>
      <c r="AB53" s="451">
        <v>0.21</v>
      </c>
      <c r="AC53" s="387">
        <v>0.17</v>
      </c>
      <c r="AD53" s="310">
        <v>0.14000000000000001</v>
      </c>
      <c r="AE53" s="440">
        <v>0.11</v>
      </c>
      <c r="AF53" s="294">
        <v>0.09</v>
      </c>
      <c r="AG53" s="723">
        <v>0.06</v>
      </c>
      <c r="AH53" s="714">
        <v>0.04</v>
      </c>
      <c r="AI53" s="458">
        <v>0.02</v>
      </c>
      <c r="AJ53" s="680">
        <v>0.01</v>
      </c>
      <c r="AK53" s="288">
        <v>0</v>
      </c>
      <c r="AL53" s="333">
        <v>0</v>
      </c>
      <c r="AM53" s="280">
        <v>0</v>
      </c>
      <c r="AN53" s="320">
        <v>0</v>
      </c>
      <c r="AO53" s="260"/>
      <c r="AP53" s="260"/>
      <c r="AQ53" s="269" t="s">
        <v>9</v>
      </c>
      <c r="AR53" s="270">
        <v>92705417</v>
      </c>
      <c r="AS53" s="270">
        <v>27802728</v>
      </c>
      <c r="AT53" s="429">
        <v>0.3</v>
      </c>
      <c r="AU53" s="365">
        <v>0.27</v>
      </c>
      <c r="AV53" s="273">
        <v>0.24</v>
      </c>
      <c r="AW53" s="743">
        <v>0.2</v>
      </c>
      <c r="AX53" s="387">
        <v>0.17</v>
      </c>
      <c r="AY53" s="304">
        <v>0.14000000000000001</v>
      </c>
      <c r="AZ53" s="390">
        <v>0.11</v>
      </c>
      <c r="BA53" s="294">
        <v>0.08</v>
      </c>
      <c r="BB53" s="744">
        <v>0.06</v>
      </c>
      <c r="BC53" s="277">
        <v>0.04</v>
      </c>
      <c r="BD53" s="372">
        <v>0.02</v>
      </c>
      <c r="BE53" s="297">
        <v>0.01</v>
      </c>
      <c r="BF53" s="312">
        <v>0</v>
      </c>
      <c r="BG53" s="307">
        <v>0</v>
      </c>
      <c r="BH53" s="280">
        <v>0</v>
      </c>
      <c r="BI53" s="320">
        <v>1E-3</v>
      </c>
      <c r="BJ53" s="260"/>
      <c r="BK53" s="260"/>
      <c r="BL53" s="269" t="s">
        <v>9</v>
      </c>
      <c r="BM53" s="270">
        <v>92705417</v>
      </c>
      <c r="BN53" s="270">
        <v>27802728</v>
      </c>
      <c r="BO53" s="732">
        <v>0.3</v>
      </c>
      <c r="BP53" s="291">
        <v>0.27</v>
      </c>
      <c r="BQ53" s="273">
        <v>0.23</v>
      </c>
      <c r="BR53" s="745">
        <v>0.2</v>
      </c>
      <c r="BS53" s="387">
        <v>0.17</v>
      </c>
      <c r="BT53" s="304">
        <v>0.14000000000000001</v>
      </c>
      <c r="BU53" s="406">
        <v>0.11</v>
      </c>
      <c r="BV53" s="709">
        <v>0.08</v>
      </c>
      <c r="BW53" s="716">
        <v>0.06</v>
      </c>
      <c r="BX53" s="453">
        <v>0.04</v>
      </c>
      <c r="BY53" s="659">
        <v>0.02</v>
      </c>
      <c r="BZ53" s="278">
        <v>0.01</v>
      </c>
      <c r="CA53" s="328">
        <v>0.01</v>
      </c>
      <c r="CB53" s="422">
        <v>0</v>
      </c>
      <c r="CC53" s="280">
        <v>0</v>
      </c>
      <c r="CD53" s="706">
        <v>4.0000000000000001E-3</v>
      </c>
    </row>
    <row r="54" spans="1:82" x14ac:dyDescent="0.2">
      <c r="A54" s="260"/>
      <c r="B54" s="269" t="s">
        <v>10</v>
      </c>
      <c r="C54" s="270">
        <v>1243404656</v>
      </c>
      <c r="D54" s="270">
        <v>110876434</v>
      </c>
      <c r="E54" s="434">
        <v>0.11</v>
      </c>
      <c r="F54" s="719">
        <v>0.1</v>
      </c>
      <c r="G54" s="746">
        <v>0.1</v>
      </c>
      <c r="H54" s="425">
        <v>0.1</v>
      </c>
      <c r="I54" s="356">
        <v>0.09</v>
      </c>
      <c r="J54" s="285">
        <v>0.09</v>
      </c>
      <c r="K54" s="442">
        <v>0.08</v>
      </c>
      <c r="L54" s="747">
        <v>0.08</v>
      </c>
      <c r="M54" s="401">
        <v>7.0000000000000007E-2</v>
      </c>
      <c r="N54" s="716">
        <v>7.0000000000000007E-2</v>
      </c>
      <c r="O54" s="748">
        <v>0.06</v>
      </c>
      <c r="P54" s="729">
        <v>0.05</v>
      </c>
      <c r="Q54" s="749">
        <v>0.04</v>
      </c>
      <c r="R54" s="725">
        <v>0.03</v>
      </c>
      <c r="S54" s="297">
        <v>0.01</v>
      </c>
      <c r="T54" s="320">
        <v>0</v>
      </c>
      <c r="U54" s="283"/>
      <c r="V54" s="269" t="s">
        <v>10</v>
      </c>
      <c r="W54" s="270">
        <v>1243404656</v>
      </c>
      <c r="X54" s="270">
        <v>110876434</v>
      </c>
      <c r="Y54" s="750">
        <v>0.11</v>
      </c>
      <c r="Z54" s="441">
        <v>0.11</v>
      </c>
      <c r="AA54" s="399">
        <v>0.1</v>
      </c>
      <c r="AB54" s="727">
        <v>0.1</v>
      </c>
      <c r="AC54" s="720">
        <v>0.1</v>
      </c>
      <c r="AD54" s="400">
        <v>0.09</v>
      </c>
      <c r="AE54" s="435">
        <v>0.09</v>
      </c>
      <c r="AF54" s="294">
        <v>0.09</v>
      </c>
      <c r="AG54" s="662">
        <v>0.08</v>
      </c>
      <c r="AH54" s="747">
        <v>7.0000000000000007E-2</v>
      </c>
      <c r="AI54" s="733">
        <v>7.0000000000000007E-2</v>
      </c>
      <c r="AJ54" s="654">
        <v>0.06</v>
      </c>
      <c r="AK54" s="729">
        <v>0.05</v>
      </c>
      <c r="AL54" s="421">
        <v>0.03</v>
      </c>
      <c r="AM54" s="645">
        <v>0.01</v>
      </c>
      <c r="AN54" s="320">
        <v>0</v>
      </c>
      <c r="AO54" s="260"/>
      <c r="AP54" s="260"/>
      <c r="AQ54" s="269" t="s">
        <v>10</v>
      </c>
      <c r="AR54" s="270">
        <v>1243404656</v>
      </c>
      <c r="AS54" s="270">
        <v>110876434</v>
      </c>
      <c r="AT54" s="751">
        <v>0.11</v>
      </c>
      <c r="AU54" s="391">
        <v>0.11</v>
      </c>
      <c r="AV54" s="752">
        <v>0.1</v>
      </c>
      <c r="AW54" s="672">
        <v>0.1</v>
      </c>
      <c r="AX54" s="434">
        <v>0.1</v>
      </c>
      <c r="AY54" s="719">
        <v>0.1</v>
      </c>
      <c r="AZ54" s="746">
        <v>0.09</v>
      </c>
      <c r="BA54" s="435">
        <v>0.09</v>
      </c>
      <c r="BB54" s="715">
        <v>0.08</v>
      </c>
      <c r="BC54" s="371">
        <v>0.08</v>
      </c>
      <c r="BD54" s="407">
        <v>7.0000000000000007E-2</v>
      </c>
      <c r="BE54" s="443">
        <v>0.06</v>
      </c>
      <c r="BF54" s="753">
        <v>0.05</v>
      </c>
      <c r="BG54" s="649">
        <v>0.04</v>
      </c>
      <c r="BH54" s="287">
        <v>0.02</v>
      </c>
      <c r="BI54" s="320">
        <v>0</v>
      </c>
      <c r="BJ54" s="260"/>
      <c r="BK54" s="260"/>
      <c r="BL54" s="269" t="s">
        <v>10</v>
      </c>
      <c r="BM54" s="270">
        <v>1243404656</v>
      </c>
      <c r="BN54" s="270">
        <v>110876434</v>
      </c>
      <c r="BO54" s="440">
        <v>0.11</v>
      </c>
      <c r="BP54" s="440">
        <v>0.11</v>
      </c>
      <c r="BQ54" s="664">
        <v>0.11</v>
      </c>
      <c r="BR54" s="398">
        <v>0.1</v>
      </c>
      <c r="BS54" s="754">
        <v>0.1</v>
      </c>
      <c r="BT54" s="750">
        <v>0.1</v>
      </c>
      <c r="BU54" s="399">
        <v>0.1</v>
      </c>
      <c r="BV54" s="719">
        <v>0.09</v>
      </c>
      <c r="BW54" s="703">
        <v>0.09</v>
      </c>
      <c r="BX54" s="709">
        <v>0.08</v>
      </c>
      <c r="BY54" s="371">
        <v>7.0000000000000007E-2</v>
      </c>
      <c r="BZ54" s="401">
        <v>7.0000000000000007E-2</v>
      </c>
      <c r="CA54" s="648">
        <v>0.05</v>
      </c>
      <c r="CB54" s="714">
        <v>0.04</v>
      </c>
      <c r="CC54" s="730">
        <v>0.02</v>
      </c>
      <c r="CD54" s="320">
        <v>0</v>
      </c>
    </row>
    <row r="55" spans="1:82" x14ac:dyDescent="0.2">
      <c r="A55" s="260"/>
      <c r="B55" s="269" t="s">
        <v>11</v>
      </c>
      <c r="C55" s="270">
        <v>195405555</v>
      </c>
      <c r="D55" s="270">
        <v>75892247</v>
      </c>
      <c r="E55" s="427">
        <v>0.39</v>
      </c>
      <c r="F55" s="352">
        <v>0.37</v>
      </c>
      <c r="G55" s="301">
        <v>0.34</v>
      </c>
      <c r="H55" s="732">
        <v>0.32</v>
      </c>
      <c r="I55" s="353">
        <v>0.28999999999999998</v>
      </c>
      <c r="J55" s="344">
        <v>0.26</v>
      </c>
      <c r="K55" s="430">
        <v>0.23</v>
      </c>
      <c r="L55" s="303">
        <v>0.2</v>
      </c>
      <c r="M55" s="447">
        <v>0.17</v>
      </c>
      <c r="N55" s="362">
        <v>0.13</v>
      </c>
      <c r="O55" s="703">
        <v>0.1</v>
      </c>
      <c r="P55" s="723">
        <v>0.06</v>
      </c>
      <c r="Q55" s="674">
        <v>0.03</v>
      </c>
      <c r="R55" s="328">
        <v>0.01</v>
      </c>
      <c r="S55" s="280">
        <v>0</v>
      </c>
      <c r="T55" s="320">
        <v>0</v>
      </c>
      <c r="U55" s="283"/>
      <c r="V55" s="269" t="s">
        <v>11</v>
      </c>
      <c r="W55" s="270">
        <v>195405555</v>
      </c>
      <c r="X55" s="270">
        <v>75892247</v>
      </c>
      <c r="Y55" s="456">
        <v>0.39</v>
      </c>
      <c r="Z55" s="742">
        <v>0.37</v>
      </c>
      <c r="AA55" s="323">
        <v>0.34</v>
      </c>
      <c r="AB55" s="419">
        <v>0.31</v>
      </c>
      <c r="AC55" s="353">
        <v>0.28000000000000003</v>
      </c>
      <c r="AD55" s="426">
        <v>0.25</v>
      </c>
      <c r="AE55" s="430">
        <v>0.22</v>
      </c>
      <c r="AF55" s="303">
        <v>0.19</v>
      </c>
      <c r="AG55" s="404">
        <v>0.16</v>
      </c>
      <c r="AH55" s="362">
        <v>0.13</v>
      </c>
      <c r="AI55" s="755">
        <v>0.09</v>
      </c>
      <c r="AJ55" s="712">
        <v>0.06</v>
      </c>
      <c r="AK55" s="644">
        <v>0.03</v>
      </c>
      <c r="AL55" s="327">
        <v>0.01</v>
      </c>
      <c r="AM55" s="280">
        <v>0</v>
      </c>
      <c r="AN55" s="756">
        <v>3.0000000000000001E-3</v>
      </c>
      <c r="AO55" s="260"/>
      <c r="AP55" s="260"/>
      <c r="AQ55" s="269" t="s">
        <v>11</v>
      </c>
      <c r="AR55" s="270">
        <v>195405555</v>
      </c>
      <c r="AS55" s="270">
        <v>75892247</v>
      </c>
      <c r="AT55" s="456">
        <v>0.39</v>
      </c>
      <c r="AU55" s="742">
        <v>0.37</v>
      </c>
      <c r="AV55" s="323">
        <v>0.34</v>
      </c>
      <c r="AW55" s="419">
        <v>0.31</v>
      </c>
      <c r="AX55" s="353">
        <v>0.28000000000000003</v>
      </c>
      <c r="AY55" s="426">
        <v>0.25</v>
      </c>
      <c r="AZ55" s="292">
        <v>0.22</v>
      </c>
      <c r="BA55" s="303">
        <v>0.19</v>
      </c>
      <c r="BB55" s="404">
        <v>0.16</v>
      </c>
      <c r="BC55" s="691">
        <v>0.12</v>
      </c>
      <c r="BD55" s="703">
        <v>0.09</v>
      </c>
      <c r="BE55" s="712">
        <v>0.06</v>
      </c>
      <c r="BF55" s="674">
        <v>0.03</v>
      </c>
      <c r="BG55" s="327">
        <v>0.01</v>
      </c>
      <c r="BH55" s="280">
        <v>0</v>
      </c>
      <c r="BI55" s="665">
        <v>5.0000000000000001E-3</v>
      </c>
      <c r="BJ55" s="260"/>
      <c r="BK55" s="260"/>
      <c r="BL55" s="269" t="s">
        <v>11</v>
      </c>
      <c r="BM55" s="270">
        <v>195405555</v>
      </c>
      <c r="BN55" s="270">
        <v>75892247</v>
      </c>
      <c r="BO55" s="423">
        <v>0.39</v>
      </c>
      <c r="BP55" s="369">
        <v>0.36</v>
      </c>
      <c r="BQ55" s="757">
        <v>0.34</v>
      </c>
      <c r="BR55" s="419">
        <v>0.31</v>
      </c>
      <c r="BS55" s="353">
        <v>0.28000000000000003</v>
      </c>
      <c r="BT55" s="426">
        <v>0.25</v>
      </c>
      <c r="BU55" s="292">
        <v>0.22</v>
      </c>
      <c r="BV55" s="303">
        <v>0.19</v>
      </c>
      <c r="BW55" s="404">
        <v>0.15</v>
      </c>
      <c r="BX55" s="377">
        <v>0.12</v>
      </c>
      <c r="BY55" s="400">
        <v>0.09</v>
      </c>
      <c r="BZ55" s="723">
        <v>0.06</v>
      </c>
      <c r="CA55" s="402">
        <v>0.03</v>
      </c>
      <c r="CB55" s="431">
        <v>0.01</v>
      </c>
      <c r="CC55" s="280">
        <v>0</v>
      </c>
      <c r="CD55" s="758">
        <v>8.0000000000000002E-3</v>
      </c>
    </row>
    <row r="56" spans="1:82" x14ac:dyDescent="0.2">
      <c r="A56" s="260"/>
      <c r="B56" s="459" t="s">
        <v>14</v>
      </c>
      <c r="C56" s="460">
        <v>4467075685</v>
      </c>
      <c r="D56" s="460">
        <v>1365370426</v>
      </c>
      <c r="E56" s="462">
        <v>0.32</v>
      </c>
      <c r="F56" s="759">
        <v>0.3</v>
      </c>
      <c r="G56" s="760">
        <v>0.28999999999999998</v>
      </c>
      <c r="H56" s="464">
        <v>0.27</v>
      </c>
      <c r="I56" s="761">
        <v>0.25</v>
      </c>
      <c r="J56" s="762">
        <v>0.23</v>
      </c>
      <c r="K56" s="466">
        <v>0.21</v>
      </c>
      <c r="L56" s="763">
        <v>0.19</v>
      </c>
      <c r="M56" s="764">
        <v>0.17</v>
      </c>
      <c r="N56" s="468">
        <v>0.15</v>
      </c>
      <c r="O56" s="765">
        <v>0.12</v>
      </c>
      <c r="P56" s="469">
        <v>0.1</v>
      </c>
      <c r="Q56" s="766">
        <v>7.0000000000000007E-2</v>
      </c>
      <c r="R56" s="470">
        <v>0.04</v>
      </c>
      <c r="S56" s="767">
        <v>0.01</v>
      </c>
      <c r="T56" s="488">
        <v>0</v>
      </c>
      <c r="U56" s="474"/>
      <c r="V56" s="459" t="s">
        <v>14</v>
      </c>
      <c r="W56" s="460">
        <v>4467075685</v>
      </c>
      <c r="X56" s="460">
        <v>1365370426</v>
      </c>
      <c r="Y56" s="768">
        <v>0.32</v>
      </c>
      <c r="Z56" s="481">
        <v>0.3</v>
      </c>
      <c r="AA56" s="769">
        <v>0.28999999999999998</v>
      </c>
      <c r="AB56" s="770">
        <v>0.27</v>
      </c>
      <c r="AC56" s="771">
        <v>0.25</v>
      </c>
      <c r="AD56" s="772">
        <v>0.23</v>
      </c>
      <c r="AE56" s="773">
        <v>0.21</v>
      </c>
      <c r="AF56" s="774">
        <v>0.19</v>
      </c>
      <c r="AG56" s="775">
        <v>0.17</v>
      </c>
      <c r="AH56" s="776">
        <v>0.15</v>
      </c>
      <c r="AI56" s="777">
        <v>0.12</v>
      </c>
      <c r="AJ56" s="778">
        <v>0.1</v>
      </c>
      <c r="AK56" s="779">
        <v>7.0000000000000007E-2</v>
      </c>
      <c r="AL56" s="780">
        <v>0.04</v>
      </c>
      <c r="AM56" s="781">
        <v>0.01</v>
      </c>
      <c r="AN56" s="488">
        <v>0</v>
      </c>
      <c r="AO56" s="260"/>
      <c r="AP56" s="260"/>
      <c r="AQ56" s="459" t="s">
        <v>14</v>
      </c>
      <c r="AR56" s="460">
        <v>4467075685</v>
      </c>
      <c r="AS56" s="460">
        <v>1365370426</v>
      </c>
      <c r="AT56" s="782">
        <v>0.32</v>
      </c>
      <c r="AU56" s="783">
        <v>0.3</v>
      </c>
      <c r="AV56" s="463">
        <v>0.28999999999999998</v>
      </c>
      <c r="AW56" s="770">
        <v>0.27</v>
      </c>
      <c r="AX56" s="784">
        <v>0.25</v>
      </c>
      <c r="AY56" s="465">
        <v>0.23</v>
      </c>
      <c r="AZ56" s="773">
        <v>0.21</v>
      </c>
      <c r="BA56" s="785">
        <v>0.19</v>
      </c>
      <c r="BB56" s="467">
        <v>0.17</v>
      </c>
      <c r="BC56" s="486">
        <v>0.15</v>
      </c>
      <c r="BD56" s="786">
        <v>0.12</v>
      </c>
      <c r="BE56" s="787">
        <v>0.1</v>
      </c>
      <c r="BF56" s="788">
        <v>7.0000000000000007E-2</v>
      </c>
      <c r="BG56" s="789">
        <v>0.04</v>
      </c>
      <c r="BH56" s="781">
        <v>0.01</v>
      </c>
      <c r="BI56" s="488">
        <v>0</v>
      </c>
      <c r="BJ56" s="260"/>
      <c r="BK56" s="260"/>
      <c r="BL56" s="459" t="s">
        <v>14</v>
      </c>
      <c r="BM56" s="460">
        <v>4467075685</v>
      </c>
      <c r="BN56" s="460">
        <v>1365370426</v>
      </c>
      <c r="BO56" s="480">
        <v>0.32</v>
      </c>
      <c r="BP56" s="790">
        <v>0.3</v>
      </c>
      <c r="BQ56" s="791">
        <v>0.28999999999999998</v>
      </c>
      <c r="BR56" s="482">
        <v>0.27</v>
      </c>
      <c r="BS56" s="792">
        <v>0.25</v>
      </c>
      <c r="BT56" s="793">
        <v>0.23</v>
      </c>
      <c r="BU56" s="484">
        <v>0.21</v>
      </c>
      <c r="BV56" s="794">
        <v>0.19</v>
      </c>
      <c r="BW56" s="795">
        <v>0.17</v>
      </c>
      <c r="BX56" s="796">
        <v>0.15</v>
      </c>
      <c r="BY56" s="797">
        <v>0.12</v>
      </c>
      <c r="BZ56" s="798">
        <v>0.1</v>
      </c>
      <c r="CA56" s="799">
        <v>7.0000000000000007E-2</v>
      </c>
      <c r="CB56" s="800">
        <v>0.04</v>
      </c>
      <c r="CC56" s="801">
        <v>0.01</v>
      </c>
      <c r="CD56" s="488">
        <v>0</v>
      </c>
    </row>
    <row r="57" spans="1:82" x14ac:dyDescent="0.2">
      <c r="A57" s="260"/>
      <c r="B57" s="260"/>
      <c r="C57" s="260"/>
      <c r="D57" s="260"/>
      <c r="E57" s="260"/>
      <c r="F57" s="260"/>
      <c r="G57" s="260"/>
      <c r="H57" s="260"/>
      <c r="I57" s="260"/>
      <c r="J57" s="283"/>
      <c r="K57" s="260"/>
      <c r="L57" s="260"/>
      <c r="M57" s="260"/>
      <c r="N57" s="260"/>
      <c r="O57" s="283"/>
      <c r="P57" s="260"/>
      <c r="Q57" s="260"/>
      <c r="R57" s="260"/>
      <c r="S57" s="260"/>
      <c r="T57" s="260"/>
      <c r="U57" s="260"/>
      <c r="V57" s="260"/>
      <c r="W57" s="260"/>
      <c r="X57" s="260"/>
      <c r="Y57" s="260"/>
      <c r="Z57" s="260"/>
      <c r="AA57" s="260"/>
      <c r="AB57" s="260"/>
      <c r="AC57" s="260"/>
      <c r="AD57" s="283"/>
      <c r="AE57" s="260"/>
      <c r="AF57" s="260"/>
      <c r="AG57" s="260"/>
      <c r="AH57" s="260"/>
      <c r="AI57" s="283"/>
      <c r="AJ57" s="260"/>
      <c r="AK57" s="260"/>
      <c r="AL57" s="260"/>
      <c r="AM57" s="260"/>
      <c r="AN57" s="260"/>
      <c r="AO57" s="260"/>
      <c r="AP57" s="260"/>
      <c r="AQ57" s="260"/>
      <c r="AR57" s="260"/>
      <c r="AS57" s="260"/>
      <c r="AT57" s="260"/>
      <c r="AU57" s="260"/>
      <c r="AV57" s="260"/>
      <c r="AW57" s="260"/>
      <c r="AX57" s="260"/>
      <c r="AY57" s="283"/>
      <c r="AZ57" s="260"/>
      <c r="BA57" s="260"/>
      <c r="BB57" s="260"/>
      <c r="BC57" s="260"/>
      <c r="BD57" s="283"/>
      <c r="BE57" s="260"/>
      <c r="BF57" s="260"/>
      <c r="BG57" s="260"/>
      <c r="BH57" s="260"/>
      <c r="BI57" s="260"/>
      <c r="BJ57" s="260"/>
      <c r="BK57" s="260"/>
      <c r="BL57" s="260"/>
      <c r="BM57" s="260"/>
      <c r="BN57" s="260"/>
      <c r="BO57" s="260"/>
      <c r="BP57" s="260"/>
      <c r="BQ57" s="260"/>
      <c r="BR57" s="260"/>
      <c r="BS57" s="260"/>
      <c r="BT57" s="283"/>
      <c r="BU57" s="260"/>
      <c r="BV57" s="260"/>
      <c r="BW57" s="260"/>
      <c r="BX57" s="260"/>
      <c r="BY57" s="283"/>
      <c r="BZ57" s="260"/>
      <c r="CA57" s="260"/>
      <c r="CB57" s="260"/>
      <c r="CC57" s="260"/>
      <c r="CD57" s="260"/>
    </row>
    <row r="58" spans="1:82" ht="19" x14ac:dyDescent="0.25">
      <c r="A58" s="260"/>
      <c r="B58" s="263" t="s">
        <v>211</v>
      </c>
      <c r="C58" s="260"/>
      <c r="D58" s="260"/>
      <c r="E58" s="260"/>
      <c r="F58" s="260"/>
      <c r="G58" s="260"/>
      <c r="H58" s="260"/>
      <c r="I58" s="260"/>
      <c r="J58" s="283"/>
      <c r="K58" s="260"/>
      <c r="L58" s="260"/>
      <c r="M58" s="260"/>
      <c r="N58" s="260"/>
      <c r="O58" s="283"/>
      <c r="P58" s="260"/>
      <c r="Q58" s="260"/>
      <c r="R58" s="260"/>
      <c r="S58" s="260"/>
      <c r="T58" s="260"/>
      <c r="U58" s="260"/>
      <c r="V58" s="263" t="s">
        <v>211</v>
      </c>
      <c r="W58" s="260"/>
      <c r="X58" s="260"/>
      <c r="Y58" s="260"/>
      <c r="Z58" s="260"/>
      <c r="AA58" s="260"/>
      <c r="AB58" s="260"/>
      <c r="AC58" s="260"/>
      <c r="AD58" s="283"/>
      <c r="AE58" s="260"/>
      <c r="AF58" s="260"/>
      <c r="AG58" s="260"/>
      <c r="AH58" s="260"/>
      <c r="AI58" s="283"/>
      <c r="AJ58" s="260"/>
      <c r="AK58" s="260"/>
      <c r="AL58" s="260"/>
      <c r="AM58" s="260"/>
      <c r="AN58" s="260"/>
      <c r="AO58" s="260"/>
      <c r="AP58" s="260"/>
      <c r="AQ58" s="263" t="s">
        <v>211</v>
      </c>
      <c r="AR58" s="260"/>
      <c r="AS58" s="260"/>
      <c r="AT58" s="260"/>
      <c r="AU58" s="260"/>
      <c r="AV58" s="260"/>
      <c r="AW58" s="260"/>
      <c r="AX58" s="260"/>
      <c r="AY58" s="283"/>
      <c r="AZ58" s="260"/>
      <c r="BA58" s="260"/>
      <c r="BB58" s="260"/>
      <c r="BC58" s="260"/>
      <c r="BD58" s="283"/>
      <c r="BE58" s="260"/>
      <c r="BF58" s="260"/>
      <c r="BG58" s="260"/>
      <c r="BH58" s="260"/>
      <c r="BI58" s="260"/>
      <c r="BJ58" s="260"/>
      <c r="BK58" s="260"/>
      <c r="BL58" s="263" t="s">
        <v>211</v>
      </c>
      <c r="BM58" s="260"/>
      <c r="BN58" s="260"/>
      <c r="BO58" s="260"/>
      <c r="BP58" s="260"/>
      <c r="BQ58" s="260"/>
      <c r="BR58" s="260"/>
      <c r="BS58" s="260"/>
      <c r="BT58" s="283"/>
      <c r="BU58" s="260"/>
      <c r="BV58" s="260"/>
      <c r="BW58" s="260"/>
      <c r="BX58" s="260"/>
      <c r="BY58" s="283"/>
      <c r="BZ58" s="260"/>
      <c r="CA58" s="260"/>
      <c r="CB58" s="260"/>
      <c r="CC58" s="260"/>
      <c r="CD58" s="260"/>
    </row>
    <row r="59" spans="1:82" ht="32" x14ac:dyDescent="0.2">
      <c r="A59" s="260"/>
      <c r="B59" s="264" t="s">
        <v>12</v>
      </c>
      <c r="C59" s="265" t="s">
        <v>15</v>
      </c>
      <c r="D59" s="265" t="s">
        <v>13</v>
      </c>
      <c r="E59" s="265" t="s">
        <v>37</v>
      </c>
      <c r="F59" s="265" t="s">
        <v>35</v>
      </c>
      <c r="G59" s="265" t="s">
        <v>36</v>
      </c>
      <c r="H59" s="265" t="s">
        <v>38</v>
      </c>
      <c r="I59" s="265" t="s">
        <v>39</v>
      </c>
      <c r="J59" s="265" t="s">
        <v>40</v>
      </c>
      <c r="K59" s="265" t="s">
        <v>41</v>
      </c>
      <c r="L59" s="265" t="s">
        <v>42</v>
      </c>
      <c r="M59" s="265" t="s">
        <v>43</v>
      </c>
      <c r="N59" s="265" t="s">
        <v>44</v>
      </c>
      <c r="O59" s="265" t="s">
        <v>45</v>
      </c>
      <c r="P59" s="265" t="s">
        <v>46</v>
      </c>
      <c r="Q59" s="265" t="s">
        <v>47</v>
      </c>
      <c r="R59" s="265" t="s">
        <v>75</v>
      </c>
      <c r="S59" s="265" t="s">
        <v>76</v>
      </c>
      <c r="T59" s="489" t="s">
        <v>77</v>
      </c>
      <c r="U59" s="268"/>
      <c r="V59" s="264" t="s">
        <v>12</v>
      </c>
      <c r="W59" s="265" t="s">
        <v>15</v>
      </c>
      <c r="X59" s="265" t="s">
        <v>13</v>
      </c>
      <c r="Y59" s="265" t="s">
        <v>37</v>
      </c>
      <c r="Z59" s="265" t="s">
        <v>35</v>
      </c>
      <c r="AA59" s="265" t="s">
        <v>36</v>
      </c>
      <c r="AB59" s="265" t="s">
        <v>38</v>
      </c>
      <c r="AC59" s="265" t="s">
        <v>39</v>
      </c>
      <c r="AD59" s="265" t="s">
        <v>40</v>
      </c>
      <c r="AE59" s="265" t="s">
        <v>41</v>
      </c>
      <c r="AF59" s="265" t="s">
        <v>42</v>
      </c>
      <c r="AG59" s="265" t="s">
        <v>43</v>
      </c>
      <c r="AH59" s="265" t="s">
        <v>44</v>
      </c>
      <c r="AI59" s="265" t="s">
        <v>45</v>
      </c>
      <c r="AJ59" s="265" t="s">
        <v>46</v>
      </c>
      <c r="AK59" s="265" t="s">
        <v>47</v>
      </c>
      <c r="AL59" s="265" t="s">
        <v>75</v>
      </c>
      <c r="AM59" s="265" t="s">
        <v>76</v>
      </c>
      <c r="AN59" s="489" t="s">
        <v>77</v>
      </c>
      <c r="AO59" s="260"/>
      <c r="AP59" s="260"/>
      <c r="AQ59" s="264" t="s">
        <v>12</v>
      </c>
      <c r="AR59" s="265" t="s">
        <v>15</v>
      </c>
      <c r="AS59" s="265" t="s">
        <v>13</v>
      </c>
      <c r="AT59" s="265" t="s">
        <v>37</v>
      </c>
      <c r="AU59" s="265" t="s">
        <v>35</v>
      </c>
      <c r="AV59" s="265" t="s">
        <v>36</v>
      </c>
      <c r="AW59" s="265" t="s">
        <v>38</v>
      </c>
      <c r="AX59" s="265" t="s">
        <v>39</v>
      </c>
      <c r="AY59" s="265" t="s">
        <v>40</v>
      </c>
      <c r="AZ59" s="265" t="s">
        <v>41</v>
      </c>
      <c r="BA59" s="265" t="s">
        <v>42</v>
      </c>
      <c r="BB59" s="265" t="s">
        <v>43</v>
      </c>
      <c r="BC59" s="265" t="s">
        <v>44</v>
      </c>
      <c r="BD59" s="265" t="s">
        <v>45</v>
      </c>
      <c r="BE59" s="265" t="s">
        <v>46</v>
      </c>
      <c r="BF59" s="265" t="s">
        <v>47</v>
      </c>
      <c r="BG59" s="265" t="s">
        <v>75</v>
      </c>
      <c r="BH59" s="265" t="s">
        <v>76</v>
      </c>
      <c r="BI59" s="489" t="s">
        <v>77</v>
      </c>
      <c r="BJ59" s="260"/>
      <c r="BK59" s="260"/>
      <c r="BL59" s="264" t="s">
        <v>12</v>
      </c>
      <c r="BM59" s="265" t="s">
        <v>15</v>
      </c>
      <c r="BN59" s="265" t="s">
        <v>13</v>
      </c>
      <c r="BO59" s="265" t="s">
        <v>37</v>
      </c>
      <c r="BP59" s="265" t="s">
        <v>35</v>
      </c>
      <c r="BQ59" s="265" t="s">
        <v>36</v>
      </c>
      <c r="BR59" s="265" t="s">
        <v>38</v>
      </c>
      <c r="BS59" s="265" t="s">
        <v>39</v>
      </c>
      <c r="BT59" s="265" t="s">
        <v>40</v>
      </c>
      <c r="BU59" s="265" t="s">
        <v>41</v>
      </c>
      <c r="BV59" s="265" t="s">
        <v>42</v>
      </c>
      <c r="BW59" s="265" t="s">
        <v>43</v>
      </c>
      <c r="BX59" s="265" t="s">
        <v>44</v>
      </c>
      <c r="BY59" s="265" t="s">
        <v>45</v>
      </c>
      <c r="BZ59" s="265" t="s">
        <v>46</v>
      </c>
      <c r="CA59" s="265" t="s">
        <v>47</v>
      </c>
      <c r="CB59" s="265" t="s">
        <v>75</v>
      </c>
      <c r="CC59" s="265" t="s">
        <v>76</v>
      </c>
      <c r="CD59" s="489" t="s">
        <v>77</v>
      </c>
    </row>
    <row r="60" spans="1:82" x14ac:dyDescent="0.2">
      <c r="A60" s="260"/>
      <c r="B60" s="269" t="s">
        <v>0</v>
      </c>
      <c r="C60" s="270">
        <v>74061018</v>
      </c>
      <c r="D60" s="270">
        <v>20012871</v>
      </c>
      <c r="E60" s="501">
        <v>0.111</v>
      </c>
      <c r="F60" s="510">
        <v>0.105</v>
      </c>
      <c r="G60" s="613">
        <v>9.9000000000000005E-2</v>
      </c>
      <c r="H60" s="503">
        <v>9.2999999999999999E-2</v>
      </c>
      <c r="I60" s="604">
        <v>8.6999999999999994E-2</v>
      </c>
      <c r="J60" s="555">
        <v>0.08</v>
      </c>
      <c r="K60" s="536">
        <v>7.3999999999999996E-2</v>
      </c>
      <c r="L60" s="627">
        <v>6.7000000000000004E-2</v>
      </c>
      <c r="M60" s="802">
        <v>0.06</v>
      </c>
      <c r="N60" s="514">
        <v>5.1999999999999998E-2</v>
      </c>
      <c r="O60" s="586">
        <v>4.3999999999999997E-2</v>
      </c>
      <c r="P60" s="803">
        <v>3.5999999999999997E-2</v>
      </c>
      <c r="Q60" s="500">
        <v>0.03</v>
      </c>
      <c r="R60" s="500">
        <v>0.03</v>
      </c>
      <c r="S60" s="500">
        <v>0.03</v>
      </c>
      <c r="T60" s="308" t="e">
        <v>#DIV/0!</v>
      </c>
      <c r="U60" s="283"/>
      <c r="V60" s="269" t="s">
        <v>0</v>
      </c>
      <c r="W60" s="270">
        <v>74061018</v>
      </c>
      <c r="X60" s="270">
        <v>20012871</v>
      </c>
      <c r="Y60" s="554">
        <v>0.114</v>
      </c>
      <c r="Z60" s="533">
        <v>0.106</v>
      </c>
      <c r="AA60" s="491">
        <v>9.9000000000000005E-2</v>
      </c>
      <c r="AB60" s="616">
        <v>9.1999999999999998E-2</v>
      </c>
      <c r="AC60" s="637">
        <v>8.5999999999999993E-2</v>
      </c>
      <c r="AD60" s="522">
        <v>7.9000000000000001E-2</v>
      </c>
      <c r="AE60" s="600">
        <v>7.1999999999999995E-2</v>
      </c>
      <c r="AF60" s="804">
        <v>6.5000000000000002E-2</v>
      </c>
      <c r="AG60" s="805">
        <v>5.8000000000000003E-2</v>
      </c>
      <c r="AH60" s="594">
        <v>0.05</v>
      </c>
      <c r="AI60" s="556">
        <v>4.2999999999999997E-2</v>
      </c>
      <c r="AJ60" s="586">
        <v>3.6999999999999998E-2</v>
      </c>
      <c r="AK60" s="806">
        <v>3.3000000000000002E-2</v>
      </c>
      <c r="AL60" s="806">
        <v>3.3000000000000002E-2</v>
      </c>
      <c r="AM60" s="500">
        <v>2.3E-2</v>
      </c>
      <c r="AN60" s="299">
        <v>0.316</v>
      </c>
      <c r="AO60" s="260"/>
      <c r="AP60" s="260"/>
      <c r="AQ60" s="269" t="s">
        <v>0</v>
      </c>
      <c r="AR60" s="270">
        <v>74061018</v>
      </c>
      <c r="AS60" s="270">
        <v>20012871</v>
      </c>
      <c r="AT60" s="501">
        <v>0.115</v>
      </c>
      <c r="AU60" s="490">
        <v>0.107</v>
      </c>
      <c r="AV60" s="491">
        <v>9.9000000000000005E-2</v>
      </c>
      <c r="AW60" s="616">
        <v>9.1999999999999998E-2</v>
      </c>
      <c r="AX60" s="607">
        <v>8.5000000000000006E-2</v>
      </c>
      <c r="AY60" s="522">
        <v>7.8E-2</v>
      </c>
      <c r="AZ60" s="605">
        <v>7.0999999999999994E-2</v>
      </c>
      <c r="BA60" s="639">
        <v>6.4000000000000001E-2</v>
      </c>
      <c r="BB60" s="495">
        <v>5.7000000000000002E-2</v>
      </c>
      <c r="BC60" s="574">
        <v>0.05</v>
      </c>
      <c r="BD60" s="591">
        <v>4.2999999999999997E-2</v>
      </c>
      <c r="BE60" s="515">
        <v>3.6999999999999998E-2</v>
      </c>
      <c r="BF60" s="585">
        <v>3.4000000000000002E-2</v>
      </c>
      <c r="BG60" s="585">
        <v>3.3000000000000002E-2</v>
      </c>
      <c r="BH60" s="500">
        <v>0.02</v>
      </c>
      <c r="BI60" s="299">
        <v>0.38600000000000001</v>
      </c>
      <c r="BJ60" s="260"/>
      <c r="BK60" s="260"/>
      <c r="BL60" s="269" t="s">
        <v>0</v>
      </c>
      <c r="BM60" s="270">
        <v>74061018</v>
      </c>
      <c r="BN60" s="270">
        <v>20012871</v>
      </c>
      <c r="BO60" s="518">
        <v>0.11600000000000001</v>
      </c>
      <c r="BP60" s="520">
        <v>0.108</v>
      </c>
      <c r="BQ60" s="511">
        <v>9.9000000000000005E-2</v>
      </c>
      <c r="BR60" s="807">
        <v>9.1999999999999998E-2</v>
      </c>
      <c r="BS60" s="540">
        <v>8.5000000000000006E-2</v>
      </c>
      <c r="BT60" s="808">
        <v>7.6999999999999999E-2</v>
      </c>
      <c r="BU60" s="630">
        <v>7.0000000000000007E-2</v>
      </c>
      <c r="BV60" s="603">
        <v>6.3E-2</v>
      </c>
      <c r="BW60" s="619">
        <v>5.6000000000000001E-2</v>
      </c>
      <c r="BX60" s="802">
        <v>4.9000000000000002E-2</v>
      </c>
      <c r="BY60" s="596">
        <v>4.2999999999999997E-2</v>
      </c>
      <c r="BZ60" s="556">
        <v>3.7999999999999999E-2</v>
      </c>
      <c r="CA60" s="587">
        <v>3.5000000000000003E-2</v>
      </c>
      <c r="CB60" s="623">
        <v>3.4000000000000002E-2</v>
      </c>
      <c r="CC60" s="809">
        <v>2.1999999999999999E-2</v>
      </c>
      <c r="CD60" s="810">
        <v>0.28899999999999998</v>
      </c>
    </row>
    <row r="61" spans="1:82" x14ac:dyDescent="0.2">
      <c r="A61" s="260"/>
      <c r="B61" s="269" t="s">
        <v>1</v>
      </c>
      <c r="C61" s="270">
        <v>164966422</v>
      </c>
      <c r="D61" s="270">
        <v>66753996</v>
      </c>
      <c r="E61" s="811">
        <v>0.14000000000000001</v>
      </c>
      <c r="F61" s="565">
        <v>0.13400000000000001</v>
      </c>
      <c r="G61" s="567">
        <v>0.129</v>
      </c>
      <c r="H61" s="527">
        <v>0.124</v>
      </c>
      <c r="I61" s="553">
        <v>0.11899999999999999</v>
      </c>
      <c r="J61" s="524">
        <v>0.115</v>
      </c>
      <c r="K61" s="532">
        <v>0.111</v>
      </c>
      <c r="L61" s="509">
        <v>0.106</v>
      </c>
      <c r="M61" s="535">
        <v>0.10100000000000001</v>
      </c>
      <c r="N61" s="521">
        <v>9.6000000000000002E-2</v>
      </c>
      <c r="O61" s="611">
        <v>8.7999999999999995E-2</v>
      </c>
      <c r="P61" s="512">
        <v>7.8E-2</v>
      </c>
      <c r="Q61" s="506">
        <v>6.3E-2</v>
      </c>
      <c r="R61" s="812">
        <v>3.7999999999999999E-2</v>
      </c>
      <c r="S61" s="500">
        <v>0.03</v>
      </c>
      <c r="T61" s="308" t="e">
        <v>#DIV/0!</v>
      </c>
      <c r="U61" s="283"/>
      <c r="V61" s="269" t="s">
        <v>1</v>
      </c>
      <c r="W61" s="270">
        <v>164966422</v>
      </c>
      <c r="X61" s="270">
        <v>66753996</v>
      </c>
      <c r="Y61" s="811">
        <v>0.14599999999999999</v>
      </c>
      <c r="Z61" s="565">
        <v>0.13900000000000001</v>
      </c>
      <c r="AA61" s="567">
        <v>0.13200000000000001</v>
      </c>
      <c r="AB61" s="527">
        <v>0.126</v>
      </c>
      <c r="AC61" s="553">
        <v>0.121</v>
      </c>
      <c r="AD61" s="518">
        <v>0.115</v>
      </c>
      <c r="AE61" s="501">
        <v>0.11</v>
      </c>
      <c r="AF61" s="490">
        <v>0.105</v>
      </c>
      <c r="AG61" s="491">
        <v>9.9000000000000005E-2</v>
      </c>
      <c r="AH61" s="638">
        <v>9.2999999999999999E-2</v>
      </c>
      <c r="AI61" s="611">
        <v>8.4000000000000005E-2</v>
      </c>
      <c r="AJ61" s="512">
        <v>7.3999999999999996E-2</v>
      </c>
      <c r="AK61" s="813">
        <v>5.8999999999999997E-2</v>
      </c>
      <c r="AL61" s="814">
        <v>3.6999999999999998E-2</v>
      </c>
      <c r="AM61" s="500">
        <v>2.3E-2</v>
      </c>
      <c r="AN61" s="815">
        <v>0.159</v>
      </c>
      <c r="AO61" s="260"/>
      <c r="AP61" s="260"/>
      <c r="AQ61" s="269" t="s">
        <v>1</v>
      </c>
      <c r="AR61" s="270">
        <v>164966422</v>
      </c>
      <c r="AS61" s="270">
        <v>66753996</v>
      </c>
      <c r="AT61" s="570">
        <v>0.14799999999999999</v>
      </c>
      <c r="AU61" s="602">
        <v>0.14000000000000001</v>
      </c>
      <c r="AV61" s="608">
        <v>0.13300000000000001</v>
      </c>
      <c r="AW61" s="553">
        <v>0.127</v>
      </c>
      <c r="AX61" s="518">
        <v>0.121</v>
      </c>
      <c r="AY61" s="519">
        <v>0.115</v>
      </c>
      <c r="AZ61" s="520">
        <v>0.11</v>
      </c>
      <c r="BA61" s="534">
        <v>0.104</v>
      </c>
      <c r="BB61" s="502">
        <v>9.8000000000000004E-2</v>
      </c>
      <c r="BC61" s="521">
        <v>9.0999999999999998E-2</v>
      </c>
      <c r="BD61" s="548">
        <v>8.3000000000000004E-2</v>
      </c>
      <c r="BE61" s="630">
        <v>7.1999999999999995E-2</v>
      </c>
      <c r="BF61" s="513">
        <v>5.8000000000000003E-2</v>
      </c>
      <c r="BG61" s="816">
        <v>3.7999999999999999E-2</v>
      </c>
      <c r="BH61" s="812">
        <v>2.9000000000000001E-2</v>
      </c>
      <c r="BI61" s="817">
        <v>5.1999999999999998E-2</v>
      </c>
      <c r="BJ61" s="260"/>
      <c r="BK61" s="260"/>
      <c r="BL61" s="269" t="s">
        <v>1</v>
      </c>
      <c r="BM61" s="270">
        <v>164966422</v>
      </c>
      <c r="BN61" s="270">
        <v>66753996</v>
      </c>
      <c r="BO61" s="615">
        <v>0.152</v>
      </c>
      <c r="BP61" s="818">
        <v>0.14299999999999999</v>
      </c>
      <c r="BQ61" s="526">
        <v>0.13500000000000001</v>
      </c>
      <c r="BR61" s="547">
        <v>0.128</v>
      </c>
      <c r="BS61" s="517">
        <v>0.121</v>
      </c>
      <c r="BT61" s="518">
        <v>0.115</v>
      </c>
      <c r="BU61" s="501">
        <v>0.109</v>
      </c>
      <c r="BV61" s="509">
        <v>0.10299999999999999</v>
      </c>
      <c r="BW61" s="535">
        <v>9.7000000000000003E-2</v>
      </c>
      <c r="BX61" s="572">
        <v>8.8999999999999996E-2</v>
      </c>
      <c r="BY61" s="635">
        <v>8.1000000000000003E-2</v>
      </c>
      <c r="BZ61" s="630">
        <v>7.0000000000000007E-2</v>
      </c>
      <c r="CA61" s="619">
        <v>5.6000000000000001E-2</v>
      </c>
      <c r="CB61" s="819">
        <v>3.9E-2</v>
      </c>
      <c r="CC61" s="820">
        <v>3.9E-2</v>
      </c>
      <c r="CD61" s="821">
        <v>1.4999999999999999E-2</v>
      </c>
    </row>
    <row r="62" spans="1:82" x14ac:dyDescent="0.2">
      <c r="A62" s="260"/>
      <c r="B62" s="269" t="s">
        <v>2</v>
      </c>
      <c r="C62" s="270">
        <v>111850438</v>
      </c>
      <c r="D62" s="270">
        <v>59635518</v>
      </c>
      <c r="E62" s="543">
        <v>0.27500000000000002</v>
      </c>
      <c r="F62" s="822">
        <v>0.23300000000000001</v>
      </c>
      <c r="G62" s="823">
        <v>0.20300000000000001</v>
      </c>
      <c r="H62" s="824">
        <v>0.18099999999999999</v>
      </c>
      <c r="I62" s="825">
        <v>0.16200000000000001</v>
      </c>
      <c r="J62" s="546">
        <v>0.14699999999999999</v>
      </c>
      <c r="K62" s="565">
        <v>0.13300000000000001</v>
      </c>
      <c r="L62" s="517">
        <v>0.121</v>
      </c>
      <c r="M62" s="533">
        <v>0.108</v>
      </c>
      <c r="N62" s="492">
        <v>9.5000000000000001E-2</v>
      </c>
      <c r="O62" s="555">
        <v>0.08</v>
      </c>
      <c r="P62" s="506">
        <v>6.4000000000000001E-2</v>
      </c>
      <c r="Q62" s="814">
        <v>4.3999999999999997E-2</v>
      </c>
      <c r="R62" s="500">
        <v>0.03</v>
      </c>
      <c r="S62" s="500">
        <v>0.03</v>
      </c>
      <c r="T62" s="308" t="e">
        <v>#DIV/0!</v>
      </c>
      <c r="U62" s="283"/>
      <c r="V62" s="269" t="s">
        <v>2</v>
      </c>
      <c r="W62" s="270">
        <v>111850438</v>
      </c>
      <c r="X62" s="270">
        <v>59635518</v>
      </c>
      <c r="Y62" s="826">
        <v>0.29799999999999999</v>
      </c>
      <c r="Z62" s="551">
        <v>0.245</v>
      </c>
      <c r="AA62" s="827">
        <v>0.20899999999999999</v>
      </c>
      <c r="AB62" s="828">
        <v>0.183</v>
      </c>
      <c r="AC62" s="538">
        <v>0.16200000000000001</v>
      </c>
      <c r="AD62" s="564">
        <v>0.14399999999999999</v>
      </c>
      <c r="AE62" s="547">
        <v>0.129</v>
      </c>
      <c r="AF62" s="524">
        <v>0.115</v>
      </c>
      <c r="AG62" s="510">
        <v>0.10100000000000001</v>
      </c>
      <c r="AH62" s="580">
        <v>8.7999999999999995E-2</v>
      </c>
      <c r="AI62" s="630">
        <v>7.2999999999999995E-2</v>
      </c>
      <c r="AJ62" s="805">
        <v>5.7000000000000002E-2</v>
      </c>
      <c r="AK62" s="587">
        <v>4.1000000000000002E-2</v>
      </c>
      <c r="AL62" s="508">
        <v>0.03</v>
      </c>
      <c r="AM62" s="829">
        <v>6.6000000000000003E-2</v>
      </c>
      <c r="AN62" s="821">
        <v>2.3E-2</v>
      </c>
      <c r="AO62" s="260"/>
      <c r="AP62" s="260"/>
      <c r="AQ62" s="269" t="s">
        <v>2</v>
      </c>
      <c r="AR62" s="270">
        <v>111850438</v>
      </c>
      <c r="AS62" s="270">
        <v>59635518</v>
      </c>
      <c r="AT62" s="830">
        <v>0.30599999999999999</v>
      </c>
      <c r="AU62" s="831">
        <v>0.249</v>
      </c>
      <c r="AV62" s="832">
        <v>0.21099999999999999</v>
      </c>
      <c r="AW62" s="516">
        <v>0.183</v>
      </c>
      <c r="AX62" s="811">
        <v>0.161</v>
      </c>
      <c r="AY62" s="566">
        <v>0.14299999999999999</v>
      </c>
      <c r="AZ62" s="553">
        <v>0.128</v>
      </c>
      <c r="BA62" s="501">
        <v>0.113</v>
      </c>
      <c r="BB62" s="491">
        <v>9.9000000000000005E-2</v>
      </c>
      <c r="BC62" s="607">
        <v>8.5000000000000006E-2</v>
      </c>
      <c r="BD62" s="600">
        <v>7.0999999999999994E-2</v>
      </c>
      <c r="BE62" s="805">
        <v>5.6000000000000001E-2</v>
      </c>
      <c r="BF62" s="631">
        <v>4.1000000000000002E-2</v>
      </c>
      <c r="BG62" s="584">
        <v>3.2000000000000001E-2</v>
      </c>
      <c r="BH62" s="598">
        <v>0.06</v>
      </c>
      <c r="BI62" s="821">
        <v>0.02</v>
      </c>
      <c r="BJ62" s="260"/>
      <c r="BK62" s="260"/>
      <c r="BL62" s="269" t="s">
        <v>2</v>
      </c>
      <c r="BM62" s="270">
        <v>111850438</v>
      </c>
      <c r="BN62" s="270">
        <v>59635518</v>
      </c>
      <c r="BO62" s="543">
        <v>0.32100000000000001</v>
      </c>
      <c r="BP62" s="833">
        <v>0.25700000000000001</v>
      </c>
      <c r="BQ62" s="831">
        <v>0.214</v>
      </c>
      <c r="BR62" s="828">
        <v>0.184</v>
      </c>
      <c r="BS62" s="621">
        <v>0.16</v>
      </c>
      <c r="BT62" s="539">
        <v>0.14099999999999999</v>
      </c>
      <c r="BU62" s="608">
        <v>0.125</v>
      </c>
      <c r="BV62" s="501">
        <v>0.109</v>
      </c>
      <c r="BW62" s="583">
        <v>9.5000000000000001E-2</v>
      </c>
      <c r="BX62" s="548">
        <v>8.1000000000000003E-2</v>
      </c>
      <c r="BY62" s="834">
        <v>6.7000000000000004E-2</v>
      </c>
      <c r="BZ62" s="805">
        <v>5.2999999999999999E-2</v>
      </c>
      <c r="CA62" s="588">
        <v>4.1000000000000002E-2</v>
      </c>
      <c r="CB62" s="623">
        <v>3.5000000000000003E-2</v>
      </c>
      <c r="CC62" s="595">
        <v>4.8000000000000001E-2</v>
      </c>
      <c r="CD62" s="821">
        <v>1.4999999999999999E-2</v>
      </c>
    </row>
    <row r="63" spans="1:82" x14ac:dyDescent="0.2">
      <c r="A63" s="260"/>
      <c r="B63" s="269" t="s">
        <v>3</v>
      </c>
      <c r="C63" s="270">
        <v>477796928</v>
      </c>
      <c r="D63" s="270">
        <v>234399775</v>
      </c>
      <c r="E63" s="621">
        <v>0.15</v>
      </c>
      <c r="F63" s="835">
        <v>0.14599999999999999</v>
      </c>
      <c r="G63" s="569">
        <v>0.14199999999999999</v>
      </c>
      <c r="H63" s="836">
        <v>0.13900000000000001</v>
      </c>
      <c r="I63" s="837">
        <v>0.13600000000000001</v>
      </c>
      <c r="J63" s="579">
        <v>0.13500000000000001</v>
      </c>
      <c r="K63" s="565">
        <v>0.13300000000000001</v>
      </c>
      <c r="L63" s="570">
        <v>0.13200000000000001</v>
      </c>
      <c r="M63" s="526">
        <v>0.13200000000000001</v>
      </c>
      <c r="N63" s="526">
        <v>0.13200000000000001</v>
      </c>
      <c r="O63" s="570">
        <v>0.13200000000000001</v>
      </c>
      <c r="P63" s="565">
        <v>0.13400000000000001</v>
      </c>
      <c r="Q63" s="539">
        <v>0.13500000000000001</v>
      </c>
      <c r="R63" s="539">
        <v>0.13500000000000001</v>
      </c>
      <c r="S63" s="604">
        <v>8.6999999999999994E-2</v>
      </c>
      <c r="T63" s="308" t="e">
        <v>#DIV/0!</v>
      </c>
      <c r="U63" s="283"/>
      <c r="V63" s="269" t="s">
        <v>3</v>
      </c>
      <c r="W63" s="270">
        <v>477796928</v>
      </c>
      <c r="X63" s="270">
        <v>234399775</v>
      </c>
      <c r="Y63" s="578">
        <v>0.158</v>
      </c>
      <c r="Z63" s="615">
        <v>0.152</v>
      </c>
      <c r="AA63" s="811">
        <v>0.14699999999999999</v>
      </c>
      <c r="AB63" s="818">
        <v>0.14299999999999999</v>
      </c>
      <c r="AC63" s="579">
        <v>0.13900000000000001</v>
      </c>
      <c r="AD63" s="570">
        <v>0.13700000000000001</v>
      </c>
      <c r="AE63" s="838">
        <v>0.13400000000000001</v>
      </c>
      <c r="AF63" s="566">
        <v>0.13300000000000001</v>
      </c>
      <c r="AG63" s="552">
        <v>0.13200000000000001</v>
      </c>
      <c r="AH63" s="552">
        <v>0.13100000000000001</v>
      </c>
      <c r="AI63" s="602">
        <v>0.13</v>
      </c>
      <c r="AJ63" s="602">
        <v>0.13</v>
      </c>
      <c r="AK63" s="602">
        <v>0.129</v>
      </c>
      <c r="AL63" s="608">
        <v>0.125</v>
      </c>
      <c r="AM63" s="541">
        <v>6.3E-2</v>
      </c>
      <c r="AN63" s="821">
        <v>2.3E-2</v>
      </c>
      <c r="AO63" s="260"/>
      <c r="AP63" s="260"/>
      <c r="AQ63" s="269" t="s">
        <v>3</v>
      </c>
      <c r="AR63" s="270">
        <v>477796928</v>
      </c>
      <c r="AS63" s="270">
        <v>234399775</v>
      </c>
      <c r="AT63" s="836">
        <v>0.161</v>
      </c>
      <c r="AU63" s="539">
        <v>0.154</v>
      </c>
      <c r="AV63" s="570">
        <v>0.14799999999999999</v>
      </c>
      <c r="AW63" s="566">
        <v>0.14399999999999999</v>
      </c>
      <c r="AX63" s="602">
        <v>0.14000000000000001</v>
      </c>
      <c r="AY63" s="839">
        <v>0.13700000000000001</v>
      </c>
      <c r="AZ63" s="527">
        <v>0.13500000000000001</v>
      </c>
      <c r="BA63" s="608">
        <v>0.13300000000000001</v>
      </c>
      <c r="BB63" s="560">
        <v>0.13100000000000001</v>
      </c>
      <c r="BC63" s="560">
        <v>0.13</v>
      </c>
      <c r="BD63" s="517">
        <v>0.13</v>
      </c>
      <c r="BE63" s="517">
        <v>0.129</v>
      </c>
      <c r="BF63" s="553">
        <v>0.127</v>
      </c>
      <c r="BG63" s="518">
        <v>0.121</v>
      </c>
      <c r="BH63" s="513">
        <v>5.8000000000000003E-2</v>
      </c>
      <c r="BI63" s="821">
        <v>0.02</v>
      </c>
      <c r="BJ63" s="260"/>
      <c r="BK63" s="260"/>
      <c r="BL63" s="269" t="s">
        <v>3</v>
      </c>
      <c r="BM63" s="270">
        <v>477796928</v>
      </c>
      <c r="BN63" s="270">
        <v>234399775</v>
      </c>
      <c r="BO63" s="840">
        <v>0.16600000000000001</v>
      </c>
      <c r="BP63" s="841">
        <v>0.158</v>
      </c>
      <c r="BQ63" s="563">
        <v>0.151</v>
      </c>
      <c r="BR63" s="836">
        <v>0.14599999999999999</v>
      </c>
      <c r="BS63" s="539">
        <v>0.14199999999999999</v>
      </c>
      <c r="BT63" s="565">
        <v>0.13800000000000001</v>
      </c>
      <c r="BU63" s="526">
        <v>0.13500000000000001</v>
      </c>
      <c r="BV63" s="566">
        <v>0.13300000000000001</v>
      </c>
      <c r="BW63" s="552">
        <v>0.13100000000000001</v>
      </c>
      <c r="BX63" s="602">
        <v>0.129</v>
      </c>
      <c r="BY63" s="547">
        <v>0.128</v>
      </c>
      <c r="BZ63" s="559">
        <v>0.126</v>
      </c>
      <c r="CA63" s="608">
        <v>0.123</v>
      </c>
      <c r="CB63" s="518">
        <v>0.115</v>
      </c>
      <c r="CC63" s="629">
        <v>0.05</v>
      </c>
      <c r="CD63" s="821">
        <v>1.4999999999999999E-2</v>
      </c>
    </row>
    <row r="64" spans="1:82" x14ac:dyDescent="0.2">
      <c r="A64" s="260"/>
      <c r="B64" s="269" t="s">
        <v>4</v>
      </c>
      <c r="C64" s="270">
        <v>164227661</v>
      </c>
      <c r="D64" s="270">
        <v>96491379</v>
      </c>
      <c r="E64" s="830">
        <v>0.22700000000000001</v>
      </c>
      <c r="F64" s="823">
        <v>0.20300000000000001</v>
      </c>
      <c r="G64" s="842">
        <v>0.185</v>
      </c>
      <c r="H64" s="843">
        <v>0.17100000000000001</v>
      </c>
      <c r="I64" s="844">
        <v>0.159</v>
      </c>
      <c r="J64" s="578">
        <v>0.14899999999999999</v>
      </c>
      <c r="K64" s="811">
        <v>0.14000000000000001</v>
      </c>
      <c r="L64" s="526">
        <v>0.13100000000000001</v>
      </c>
      <c r="M64" s="608">
        <v>0.123</v>
      </c>
      <c r="N64" s="554">
        <v>0.114</v>
      </c>
      <c r="O64" s="511">
        <v>0.104</v>
      </c>
      <c r="P64" s="845">
        <v>9.0999999999999998E-2</v>
      </c>
      <c r="Q64" s="846">
        <v>7.2999999999999995E-2</v>
      </c>
      <c r="R64" s="542">
        <v>4.1000000000000002E-2</v>
      </c>
      <c r="S64" s="500">
        <v>0.03</v>
      </c>
      <c r="T64" s="308" t="e">
        <v>#DIV/0!</v>
      </c>
      <c r="U64" s="283"/>
      <c r="V64" s="269" t="s">
        <v>4</v>
      </c>
      <c r="W64" s="270">
        <v>164227661</v>
      </c>
      <c r="X64" s="270">
        <v>96491379</v>
      </c>
      <c r="Y64" s="847">
        <v>0.24399999999999999</v>
      </c>
      <c r="Z64" s="848">
        <v>0.214</v>
      </c>
      <c r="AA64" s="849">
        <v>0.192</v>
      </c>
      <c r="AB64" s="825">
        <v>0.17399999999999999</v>
      </c>
      <c r="AC64" s="562">
        <v>0.16</v>
      </c>
      <c r="AD64" s="850">
        <v>0.14799999999999999</v>
      </c>
      <c r="AE64" s="565">
        <v>0.13800000000000001</v>
      </c>
      <c r="AF64" s="547">
        <v>0.128</v>
      </c>
      <c r="AG64" s="571">
        <v>0.11899999999999999</v>
      </c>
      <c r="AH64" s="532">
        <v>0.109</v>
      </c>
      <c r="AI64" s="851">
        <v>9.7000000000000003E-2</v>
      </c>
      <c r="AJ64" s="548">
        <v>8.3000000000000004E-2</v>
      </c>
      <c r="AK64" s="804">
        <v>6.5000000000000002E-2</v>
      </c>
      <c r="AL64" s="499">
        <v>3.9E-2</v>
      </c>
      <c r="AM64" s="500">
        <v>2.3E-2</v>
      </c>
      <c r="AN64" s="852">
        <v>0.14799999999999999</v>
      </c>
      <c r="AO64" s="260"/>
      <c r="AP64" s="260"/>
      <c r="AQ64" s="269" t="s">
        <v>4</v>
      </c>
      <c r="AR64" s="270">
        <v>164227661</v>
      </c>
      <c r="AS64" s="270">
        <v>96491379</v>
      </c>
      <c r="AT64" s="853">
        <v>0.25</v>
      </c>
      <c r="AU64" s="545">
        <v>0.218</v>
      </c>
      <c r="AV64" s="844">
        <v>0.19400000000000001</v>
      </c>
      <c r="AW64" s="841">
        <v>0.17499999999999999</v>
      </c>
      <c r="AX64" s="836">
        <v>0.161</v>
      </c>
      <c r="AY64" s="526">
        <v>0.14799999999999999</v>
      </c>
      <c r="AZ64" s="547">
        <v>0.13700000000000001</v>
      </c>
      <c r="BA64" s="553">
        <v>0.127</v>
      </c>
      <c r="BB64" s="581">
        <v>0.11700000000000001</v>
      </c>
      <c r="BC64" s="490">
        <v>0.107</v>
      </c>
      <c r="BD64" s="636">
        <v>9.5000000000000001E-2</v>
      </c>
      <c r="BE64" s="606">
        <v>8.1000000000000003E-2</v>
      </c>
      <c r="BF64" s="601">
        <v>6.3E-2</v>
      </c>
      <c r="BG64" s="623">
        <v>3.7999999999999999E-2</v>
      </c>
      <c r="BH64" s="854">
        <v>2.5999999999999999E-2</v>
      </c>
      <c r="BI64" s="855">
        <v>0.09</v>
      </c>
      <c r="BJ64" s="260"/>
      <c r="BK64" s="260"/>
      <c r="BL64" s="269" t="s">
        <v>4</v>
      </c>
      <c r="BM64" s="270">
        <v>164227661</v>
      </c>
      <c r="BN64" s="270">
        <v>96491379</v>
      </c>
      <c r="BO64" s="856">
        <v>0.26100000000000001</v>
      </c>
      <c r="BP64" s="857">
        <v>0.224</v>
      </c>
      <c r="BQ64" s="537">
        <v>0.19700000000000001</v>
      </c>
      <c r="BR64" s="858">
        <v>0.17699999999999999</v>
      </c>
      <c r="BS64" s="562">
        <v>0.161</v>
      </c>
      <c r="BT64" s="525">
        <v>0.14699999999999999</v>
      </c>
      <c r="BU64" s="526">
        <v>0.13500000000000001</v>
      </c>
      <c r="BV64" s="608">
        <v>0.125</v>
      </c>
      <c r="BW64" s="524">
        <v>0.114</v>
      </c>
      <c r="BX64" s="509">
        <v>0.10299999999999999</v>
      </c>
      <c r="BY64" s="616">
        <v>9.0999999999999998E-2</v>
      </c>
      <c r="BZ64" s="808">
        <v>7.6999999999999999E-2</v>
      </c>
      <c r="CA64" s="634">
        <v>0.06</v>
      </c>
      <c r="CB64" s="591">
        <v>3.9E-2</v>
      </c>
      <c r="CC64" s="514">
        <v>0.04</v>
      </c>
      <c r="CD64" s="821">
        <v>1.4999999999999999E-2</v>
      </c>
    </row>
    <row r="65" spans="1:82" x14ac:dyDescent="0.2">
      <c r="A65" s="260"/>
      <c r="B65" s="269" t="s">
        <v>5</v>
      </c>
      <c r="C65" s="270">
        <v>407962628</v>
      </c>
      <c r="D65" s="270">
        <v>187745918</v>
      </c>
      <c r="E65" s="571">
        <v>0.11799999999999999</v>
      </c>
      <c r="F65" s="561">
        <v>0.11700000000000001</v>
      </c>
      <c r="G65" s="518">
        <v>0.11600000000000001</v>
      </c>
      <c r="H65" s="518">
        <v>0.115</v>
      </c>
      <c r="I65" s="524">
        <v>0.115</v>
      </c>
      <c r="J65" s="524">
        <v>0.115</v>
      </c>
      <c r="K65" s="524">
        <v>0.115</v>
      </c>
      <c r="L65" s="524">
        <v>0.115</v>
      </c>
      <c r="M65" s="524">
        <v>0.115</v>
      </c>
      <c r="N65" s="518">
        <v>0.11600000000000001</v>
      </c>
      <c r="O65" s="518">
        <v>0.11600000000000001</v>
      </c>
      <c r="P65" s="561">
        <v>0.11700000000000001</v>
      </c>
      <c r="Q65" s="561">
        <v>0.11700000000000001</v>
      </c>
      <c r="R65" s="519">
        <v>0.113</v>
      </c>
      <c r="S65" s="497">
        <v>4.2000000000000003E-2</v>
      </c>
      <c r="T65" s="308" t="e">
        <v>#DIV/0!</v>
      </c>
      <c r="U65" s="283"/>
      <c r="V65" s="269" t="s">
        <v>5</v>
      </c>
      <c r="W65" s="270">
        <v>407962628</v>
      </c>
      <c r="X65" s="270">
        <v>187745918</v>
      </c>
      <c r="Y65" s="517">
        <v>0.122</v>
      </c>
      <c r="Z65" s="553">
        <v>0.12</v>
      </c>
      <c r="AA65" s="571">
        <v>0.11899999999999999</v>
      </c>
      <c r="AB65" s="561">
        <v>0.11799999999999999</v>
      </c>
      <c r="AC65" s="561">
        <v>0.11700000000000001</v>
      </c>
      <c r="AD65" s="518">
        <v>0.11600000000000001</v>
      </c>
      <c r="AE65" s="518">
        <v>0.11600000000000001</v>
      </c>
      <c r="AF65" s="518">
        <v>0.11600000000000001</v>
      </c>
      <c r="AG65" s="518">
        <v>0.115</v>
      </c>
      <c r="AH65" s="518">
        <v>0.115</v>
      </c>
      <c r="AI65" s="518">
        <v>0.115</v>
      </c>
      <c r="AJ65" s="524">
        <v>0.115</v>
      </c>
      <c r="AK65" s="581">
        <v>0.113</v>
      </c>
      <c r="AL65" s="490">
        <v>0.105</v>
      </c>
      <c r="AM65" s="550">
        <v>2.7E-2</v>
      </c>
      <c r="AN65" s="859">
        <v>0.05</v>
      </c>
      <c r="AO65" s="260"/>
      <c r="AP65" s="260"/>
      <c r="AQ65" s="269" t="s">
        <v>5</v>
      </c>
      <c r="AR65" s="270">
        <v>407962628</v>
      </c>
      <c r="AS65" s="270">
        <v>187745918</v>
      </c>
      <c r="AT65" s="561">
        <v>0.123</v>
      </c>
      <c r="AU65" s="518">
        <v>0.121</v>
      </c>
      <c r="AV65" s="524">
        <v>0.12</v>
      </c>
      <c r="AW65" s="554">
        <v>0.11799999999999999</v>
      </c>
      <c r="AX65" s="581">
        <v>0.11700000000000001</v>
      </c>
      <c r="AY65" s="519">
        <v>0.11700000000000001</v>
      </c>
      <c r="AZ65" s="519">
        <v>0.11600000000000001</v>
      </c>
      <c r="BA65" s="519">
        <v>0.11600000000000001</v>
      </c>
      <c r="BB65" s="519">
        <v>0.11600000000000001</v>
      </c>
      <c r="BC65" s="519">
        <v>0.115</v>
      </c>
      <c r="BD65" s="501">
        <v>0.115</v>
      </c>
      <c r="BE65" s="501">
        <v>0.114</v>
      </c>
      <c r="BF65" s="532">
        <v>0.111</v>
      </c>
      <c r="BG65" s="510">
        <v>0.10199999999999999</v>
      </c>
      <c r="BH65" s="550">
        <v>2.5000000000000001E-2</v>
      </c>
      <c r="BI65" s="860">
        <v>5.8999999999999997E-2</v>
      </c>
      <c r="BJ65" s="260"/>
      <c r="BK65" s="260"/>
      <c r="BL65" s="269" t="s">
        <v>5</v>
      </c>
      <c r="BM65" s="270">
        <v>407962628</v>
      </c>
      <c r="BN65" s="270">
        <v>187745918</v>
      </c>
      <c r="BO65" s="527">
        <v>0.125</v>
      </c>
      <c r="BP65" s="560">
        <v>0.123</v>
      </c>
      <c r="BQ65" s="517">
        <v>0.121</v>
      </c>
      <c r="BR65" s="553">
        <v>0.12</v>
      </c>
      <c r="BS65" s="571">
        <v>0.11799999999999999</v>
      </c>
      <c r="BT65" s="561">
        <v>0.11700000000000001</v>
      </c>
      <c r="BU65" s="561">
        <v>0.11700000000000001</v>
      </c>
      <c r="BV65" s="518">
        <v>0.11600000000000001</v>
      </c>
      <c r="BW65" s="518">
        <v>0.115</v>
      </c>
      <c r="BX65" s="518">
        <v>0.115</v>
      </c>
      <c r="BY65" s="524">
        <v>0.114</v>
      </c>
      <c r="BZ65" s="581">
        <v>0.112</v>
      </c>
      <c r="CA65" s="532">
        <v>0.108</v>
      </c>
      <c r="CB65" s="491">
        <v>9.8000000000000004E-2</v>
      </c>
      <c r="CC65" s="508">
        <v>2.3E-2</v>
      </c>
      <c r="CD65" s="861">
        <v>6.2E-2</v>
      </c>
    </row>
    <row r="66" spans="1:82" x14ac:dyDescent="0.2">
      <c r="A66" s="260"/>
      <c r="B66" s="269" t="s">
        <v>6</v>
      </c>
      <c r="C66" s="270">
        <v>295355340</v>
      </c>
      <c r="D66" s="270">
        <v>30753929</v>
      </c>
      <c r="E66" s="862">
        <v>0.04</v>
      </c>
      <c r="F66" s="584">
        <v>4.1000000000000002E-2</v>
      </c>
      <c r="G66" s="497">
        <v>4.2000000000000003E-2</v>
      </c>
      <c r="H66" s="585">
        <v>4.2000000000000003E-2</v>
      </c>
      <c r="I66" s="507">
        <v>4.2999999999999997E-2</v>
      </c>
      <c r="J66" s="586">
        <v>4.3999999999999997E-2</v>
      </c>
      <c r="K66" s="620">
        <v>4.3999999999999997E-2</v>
      </c>
      <c r="L66" s="499">
        <v>4.4999999999999998E-2</v>
      </c>
      <c r="M66" s="515">
        <v>4.5999999999999999E-2</v>
      </c>
      <c r="N66" s="623">
        <v>4.7E-2</v>
      </c>
      <c r="O66" s="587">
        <v>4.7E-2</v>
      </c>
      <c r="P66" s="557">
        <v>4.8000000000000001E-2</v>
      </c>
      <c r="Q66" s="587">
        <v>4.7E-2</v>
      </c>
      <c r="R66" s="814">
        <v>4.3999999999999997E-2</v>
      </c>
      <c r="S66" s="500">
        <v>0.03</v>
      </c>
      <c r="T66" s="308" t="e">
        <v>#DIV/0!</v>
      </c>
      <c r="U66" s="283"/>
      <c r="V66" s="269" t="s">
        <v>6</v>
      </c>
      <c r="W66" s="270">
        <v>295355340</v>
      </c>
      <c r="X66" s="270">
        <v>30753929</v>
      </c>
      <c r="Y66" s="542">
        <v>3.4000000000000002E-2</v>
      </c>
      <c r="Z66" s="585">
        <v>3.5000000000000003E-2</v>
      </c>
      <c r="AA66" s="586">
        <v>3.6999999999999998E-2</v>
      </c>
      <c r="AB66" s="620">
        <v>3.7999999999999999E-2</v>
      </c>
      <c r="AC66" s="515">
        <v>3.9E-2</v>
      </c>
      <c r="AD66" s="587">
        <v>4.1000000000000002E-2</v>
      </c>
      <c r="AE66" s="631">
        <v>4.2999999999999997E-2</v>
      </c>
      <c r="AF66" s="591">
        <v>4.4999999999999998E-2</v>
      </c>
      <c r="AG66" s="496">
        <v>4.7E-2</v>
      </c>
      <c r="AH66" s="589">
        <v>4.9000000000000002E-2</v>
      </c>
      <c r="AI66" s="590">
        <v>5.0999999999999997E-2</v>
      </c>
      <c r="AJ66" s="633">
        <v>5.2999999999999999E-2</v>
      </c>
      <c r="AK66" s="624">
        <v>5.5E-2</v>
      </c>
      <c r="AL66" s="633">
        <v>5.2999999999999999E-2</v>
      </c>
      <c r="AM66" s="500">
        <v>2.3E-2</v>
      </c>
      <c r="AN66" s="863">
        <v>9.6000000000000002E-2</v>
      </c>
      <c r="AO66" s="260"/>
      <c r="AP66" s="260"/>
      <c r="AQ66" s="269" t="s">
        <v>6</v>
      </c>
      <c r="AR66" s="270">
        <v>295355340</v>
      </c>
      <c r="AS66" s="270">
        <v>30753929</v>
      </c>
      <c r="AT66" s="542">
        <v>3.2000000000000001E-2</v>
      </c>
      <c r="AU66" s="585">
        <v>3.4000000000000002E-2</v>
      </c>
      <c r="AV66" s="586">
        <v>3.5000000000000003E-2</v>
      </c>
      <c r="AW66" s="499">
        <v>3.6999999999999998E-2</v>
      </c>
      <c r="AX66" s="623">
        <v>3.7999999999999999E-2</v>
      </c>
      <c r="AY66" s="864">
        <v>0.04</v>
      </c>
      <c r="AZ66" s="819">
        <v>4.2000000000000003E-2</v>
      </c>
      <c r="BA66" s="588">
        <v>4.4999999999999998E-2</v>
      </c>
      <c r="BB66" s="589">
        <v>4.7E-2</v>
      </c>
      <c r="BC66" s="574">
        <v>0.05</v>
      </c>
      <c r="BD66" s="802">
        <v>5.1999999999999998E-2</v>
      </c>
      <c r="BE66" s="865">
        <v>5.5E-2</v>
      </c>
      <c r="BF66" s="495">
        <v>5.7000000000000002E-2</v>
      </c>
      <c r="BG66" s="523">
        <v>5.5E-2</v>
      </c>
      <c r="BH66" s="866">
        <v>2.1999999999999999E-2</v>
      </c>
      <c r="BI66" s="867">
        <v>9.8000000000000004E-2</v>
      </c>
      <c r="BJ66" s="260"/>
      <c r="BK66" s="260"/>
      <c r="BL66" s="269" t="s">
        <v>6</v>
      </c>
      <c r="BM66" s="270">
        <v>295355340</v>
      </c>
      <c r="BN66" s="270">
        <v>30753929</v>
      </c>
      <c r="BO66" s="542">
        <v>2.8000000000000001E-2</v>
      </c>
      <c r="BP66" s="507">
        <v>0.03</v>
      </c>
      <c r="BQ66" s="620">
        <v>3.2000000000000001E-2</v>
      </c>
      <c r="BR66" s="816">
        <v>3.4000000000000002E-2</v>
      </c>
      <c r="BS66" s="864">
        <v>3.5999999999999997E-2</v>
      </c>
      <c r="BT66" s="591">
        <v>3.9E-2</v>
      </c>
      <c r="BU66" s="868">
        <v>4.2000000000000003E-2</v>
      </c>
      <c r="BV66" s="628">
        <v>4.4999999999999998E-2</v>
      </c>
      <c r="BW66" s="633">
        <v>4.8000000000000001E-2</v>
      </c>
      <c r="BX66" s="865">
        <v>5.1999999999999998E-2</v>
      </c>
      <c r="BY66" s="869">
        <v>5.5E-2</v>
      </c>
      <c r="BZ66" s="541">
        <v>5.8000000000000003E-2</v>
      </c>
      <c r="CA66" s="601">
        <v>6.0999999999999999E-2</v>
      </c>
      <c r="CB66" s="573">
        <v>5.8999999999999997E-2</v>
      </c>
      <c r="CC66" s="809">
        <v>2.3E-2</v>
      </c>
      <c r="CD66" s="870">
        <v>8.3000000000000004E-2</v>
      </c>
    </row>
    <row r="67" spans="1:82" x14ac:dyDescent="0.2">
      <c r="A67" s="260"/>
      <c r="B67" s="269" t="s">
        <v>7</v>
      </c>
      <c r="C67" s="270">
        <v>328852284</v>
      </c>
      <c r="D67" s="270">
        <v>133280716</v>
      </c>
      <c r="E67" s="547">
        <v>0.126</v>
      </c>
      <c r="F67" s="527">
        <v>0.124</v>
      </c>
      <c r="G67" s="560">
        <v>0.122</v>
      </c>
      <c r="H67" s="517">
        <v>0.12</v>
      </c>
      <c r="I67" s="553">
        <v>0.11899999999999999</v>
      </c>
      <c r="J67" s="571">
        <v>0.11799999999999999</v>
      </c>
      <c r="K67" s="561">
        <v>0.11700000000000001</v>
      </c>
      <c r="L67" s="518">
        <v>0.11600000000000001</v>
      </c>
      <c r="M67" s="524">
        <v>0.115</v>
      </c>
      <c r="N67" s="524">
        <v>0.114</v>
      </c>
      <c r="O67" s="581">
        <v>0.113</v>
      </c>
      <c r="P67" s="501">
        <v>0.112</v>
      </c>
      <c r="Q67" s="533">
        <v>0.108</v>
      </c>
      <c r="R67" s="521">
        <v>9.6000000000000002E-2</v>
      </c>
      <c r="S67" s="500">
        <v>0.03</v>
      </c>
      <c r="T67" s="308" t="e">
        <v>#DIV/0!</v>
      </c>
      <c r="U67" s="283"/>
      <c r="V67" s="269" t="s">
        <v>7</v>
      </c>
      <c r="W67" s="270">
        <v>328852284</v>
      </c>
      <c r="X67" s="270">
        <v>133280716</v>
      </c>
      <c r="Y67" s="602">
        <v>0.13</v>
      </c>
      <c r="Z67" s="559">
        <v>0.127</v>
      </c>
      <c r="AA67" s="608">
        <v>0.125</v>
      </c>
      <c r="AB67" s="560">
        <v>0.123</v>
      </c>
      <c r="AC67" s="517">
        <v>0.121</v>
      </c>
      <c r="AD67" s="571">
        <v>0.11899999999999999</v>
      </c>
      <c r="AE67" s="561">
        <v>0.11799999999999999</v>
      </c>
      <c r="AF67" s="518">
        <v>0.11600000000000001</v>
      </c>
      <c r="AG67" s="524">
        <v>0.115</v>
      </c>
      <c r="AH67" s="554">
        <v>0.114</v>
      </c>
      <c r="AI67" s="519">
        <v>0.112</v>
      </c>
      <c r="AJ67" s="532">
        <v>0.109</v>
      </c>
      <c r="AK67" s="510">
        <v>0.10299999999999999</v>
      </c>
      <c r="AL67" s="845">
        <v>8.6999999999999994E-2</v>
      </c>
      <c r="AM67" s="500">
        <v>2.3E-2</v>
      </c>
      <c r="AN67" s="871">
        <v>4.4999999999999998E-2</v>
      </c>
      <c r="AO67" s="260"/>
      <c r="AP67" s="260"/>
      <c r="AQ67" s="269" t="s">
        <v>7</v>
      </c>
      <c r="AR67" s="270">
        <v>328852284</v>
      </c>
      <c r="AS67" s="270">
        <v>133280716</v>
      </c>
      <c r="AT67" s="608">
        <v>0.13200000000000001</v>
      </c>
      <c r="AU67" s="517">
        <v>0.129</v>
      </c>
      <c r="AV67" s="571">
        <v>0.126</v>
      </c>
      <c r="AW67" s="561">
        <v>0.124</v>
      </c>
      <c r="AX67" s="518">
        <v>0.121</v>
      </c>
      <c r="AY67" s="524">
        <v>0.12</v>
      </c>
      <c r="AZ67" s="554">
        <v>0.11799999999999999</v>
      </c>
      <c r="BA67" s="519">
        <v>0.11600000000000001</v>
      </c>
      <c r="BB67" s="501">
        <v>0.115</v>
      </c>
      <c r="BC67" s="501">
        <v>0.113</v>
      </c>
      <c r="BD67" s="520">
        <v>0.111</v>
      </c>
      <c r="BE67" s="490">
        <v>0.107</v>
      </c>
      <c r="BF67" s="511">
        <v>0.10100000000000001</v>
      </c>
      <c r="BG67" s="637">
        <v>8.5000000000000006E-2</v>
      </c>
      <c r="BH67" s="500">
        <v>0.02</v>
      </c>
      <c r="BI67" s="872">
        <v>6.6000000000000003E-2</v>
      </c>
      <c r="BJ67" s="260"/>
      <c r="BK67" s="260"/>
      <c r="BL67" s="269" t="s">
        <v>7</v>
      </c>
      <c r="BM67" s="270">
        <v>328852284</v>
      </c>
      <c r="BN67" s="270">
        <v>133280716</v>
      </c>
      <c r="BO67" s="526">
        <v>0.13500000000000001</v>
      </c>
      <c r="BP67" s="552">
        <v>0.13100000000000001</v>
      </c>
      <c r="BQ67" s="547">
        <v>0.128</v>
      </c>
      <c r="BR67" s="527">
        <v>0.125</v>
      </c>
      <c r="BS67" s="560">
        <v>0.123</v>
      </c>
      <c r="BT67" s="553">
        <v>0.12</v>
      </c>
      <c r="BU67" s="571">
        <v>0.11799999999999999</v>
      </c>
      <c r="BV67" s="561">
        <v>0.11600000000000001</v>
      </c>
      <c r="BW67" s="524">
        <v>0.115</v>
      </c>
      <c r="BX67" s="581">
        <v>0.112</v>
      </c>
      <c r="BY67" s="501">
        <v>0.11</v>
      </c>
      <c r="BZ67" s="533">
        <v>0.105</v>
      </c>
      <c r="CA67" s="502">
        <v>9.8000000000000004E-2</v>
      </c>
      <c r="CB67" s="635">
        <v>8.1000000000000003E-2</v>
      </c>
      <c r="CC67" s="500">
        <v>1.4999999999999999E-2</v>
      </c>
      <c r="CD67" s="873">
        <v>0.106</v>
      </c>
    </row>
    <row r="68" spans="1:82" x14ac:dyDescent="0.2">
      <c r="A68" s="260"/>
      <c r="B68" s="269" t="s">
        <v>8</v>
      </c>
      <c r="C68" s="270">
        <v>910487339</v>
      </c>
      <c r="D68" s="270">
        <v>321724914</v>
      </c>
      <c r="E68" s="834">
        <v>7.4999999999999997E-2</v>
      </c>
      <c r="F68" s="600">
        <v>7.6999999999999999E-2</v>
      </c>
      <c r="G68" s="512">
        <v>7.9000000000000001E-2</v>
      </c>
      <c r="H68" s="618">
        <v>0.08</v>
      </c>
      <c r="I68" s="874">
        <v>8.2000000000000003E-2</v>
      </c>
      <c r="J68" s="875">
        <v>8.4000000000000005E-2</v>
      </c>
      <c r="K68" s="604">
        <v>8.6999999999999994E-2</v>
      </c>
      <c r="L68" s="637">
        <v>8.8999999999999996E-2</v>
      </c>
      <c r="M68" s="503">
        <v>9.2999999999999999E-2</v>
      </c>
      <c r="N68" s="638">
        <v>9.6000000000000002E-2</v>
      </c>
      <c r="O68" s="535">
        <v>0.10100000000000001</v>
      </c>
      <c r="P68" s="490">
        <v>0.107</v>
      </c>
      <c r="Q68" s="561">
        <v>0.11700000000000001</v>
      </c>
      <c r="R68" s="565">
        <v>0.13400000000000001</v>
      </c>
      <c r="S68" s="876">
        <v>0.19500000000000001</v>
      </c>
      <c r="T68" s="308" t="e">
        <v>#DIV/0!</v>
      </c>
      <c r="U68" s="283"/>
      <c r="V68" s="269" t="s">
        <v>8</v>
      </c>
      <c r="W68" s="270">
        <v>910487339</v>
      </c>
      <c r="X68" s="270">
        <v>321724914</v>
      </c>
      <c r="Y68" s="512">
        <v>7.3999999999999996E-2</v>
      </c>
      <c r="Z68" s="555">
        <v>7.5999999999999998E-2</v>
      </c>
      <c r="AA68" s="874">
        <v>7.8E-2</v>
      </c>
      <c r="AB68" s="808">
        <v>0.08</v>
      </c>
      <c r="AC68" s="606">
        <v>8.2000000000000003E-2</v>
      </c>
      <c r="AD68" s="877">
        <v>8.5000000000000006E-2</v>
      </c>
      <c r="AE68" s="845">
        <v>8.6999999999999994E-2</v>
      </c>
      <c r="AF68" s="492">
        <v>0.09</v>
      </c>
      <c r="AG68" s="878">
        <v>9.4E-2</v>
      </c>
      <c r="AH68" s="502">
        <v>9.8000000000000004E-2</v>
      </c>
      <c r="AI68" s="534">
        <v>0.10299999999999999</v>
      </c>
      <c r="AJ68" s="532">
        <v>0.11</v>
      </c>
      <c r="AK68" s="571">
        <v>0.11899999999999999</v>
      </c>
      <c r="AL68" s="838">
        <v>0.13400000000000001</v>
      </c>
      <c r="AM68" s="558">
        <v>0.19</v>
      </c>
      <c r="AN68" s="821">
        <v>2.3E-2</v>
      </c>
      <c r="AO68" s="260"/>
      <c r="AP68" s="260"/>
      <c r="AQ68" s="269" t="s">
        <v>8</v>
      </c>
      <c r="AR68" s="270">
        <v>910487339</v>
      </c>
      <c r="AS68" s="270">
        <v>321724914</v>
      </c>
      <c r="AT68" s="512">
        <v>7.2999999999999995E-2</v>
      </c>
      <c r="AU68" s="618">
        <v>7.4999999999999997E-2</v>
      </c>
      <c r="AV68" s="874">
        <v>7.6999999999999999E-2</v>
      </c>
      <c r="AW68" s="493">
        <v>0.08</v>
      </c>
      <c r="AX68" s="604">
        <v>8.2000000000000003E-2</v>
      </c>
      <c r="AY68" s="637">
        <v>8.5000000000000006E-2</v>
      </c>
      <c r="AZ68" s="503">
        <v>8.7999999999999995E-2</v>
      </c>
      <c r="BA68" s="572">
        <v>9.0999999999999998E-2</v>
      </c>
      <c r="BB68" s="613">
        <v>9.4E-2</v>
      </c>
      <c r="BC68" s="491">
        <v>9.9000000000000005E-2</v>
      </c>
      <c r="BD68" s="510">
        <v>0.104</v>
      </c>
      <c r="BE68" s="520">
        <v>0.11</v>
      </c>
      <c r="BF68" s="524">
        <v>0.11899999999999999</v>
      </c>
      <c r="BG68" s="527">
        <v>0.13400000000000001</v>
      </c>
      <c r="BH68" s="879">
        <v>0.188</v>
      </c>
      <c r="BI68" s="821">
        <v>0.02</v>
      </c>
      <c r="BJ68" s="260"/>
      <c r="BK68" s="260"/>
      <c r="BL68" s="269" t="s">
        <v>8</v>
      </c>
      <c r="BM68" s="270">
        <v>910487339</v>
      </c>
      <c r="BN68" s="270">
        <v>321724914</v>
      </c>
      <c r="BO68" s="582">
        <v>7.1999999999999995E-2</v>
      </c>
      <c r="BP68" s="610">
        <v>7.3999999999999996E-2</v>
      </c>
      <c r="BQ68" s="522">
        <v>7.6999999999999999E-2</v>
      </c>
      <c r="BR68" s="606">
        <v>7.9000000000000001E-2</v>
      </c>
      <c r="BS68" s="611">
        <v>8.2000000000000003E-2</v>
      </c>
      <c r="BT68" s="540">
        <v>8.5000000000000006E-2</v>
      </c>
      <c r="BU68" s="880">
        <v>8.7999999999999995E-2</v>
      </c>
      <c r="BV68" s="807">
        <v>9.1999999999999998E-2</v>
      </c>
      <c r="BW68" s="583">
        <v>9.5000000000000001E-2</v>
      </c>
      <c r="BX68" s="511">
        <v>0.1</v>
      </c>
      <c r="BY68" s="533">
        <v>0.105</v>
      </c>
      <c r="BZ68" s="519">
        <v>0.111</v>
      </c>
      <c r="CA68" s="553">
        <v>0.12</v>
      </c>
      <c r="CB68" s="838">
        <v>0.13400000000000001</v>
      </c>
      <c r="CC68" s="577">
        <v>0.18099999999999999</v>
      </c>
      <c r="CD68" s="821">
        <v>1.4999999999999999E-2</v>
      </c>
    </row>
    <row r="69" spans="1:82" x14ac:dyDescent="0.2">
      <c r="A69" s="260"/>
      <c r="B69" s="269" t="s">
        <v>9</v>
      </c>
      <c r="C69" s="270">
        <v>92705417</v>
      </c>
      <c r="D69" s="270">
        <v>27802728</v>
      </c>
      <c r="E69" s="621">
        <v>0.15</v>
      </c>
      <c r="F69" s="836">
        <v>0.13900000000000001</v>
      </c>
      <c r="G69" s="552">
        <v>0.129</v>
      </c>
      <c r="H69" s="553">
        <v>0.11899999999999999</v>
      </c>
      <c r="I69" s="532">
        <v>0.111</v>
      </c>
      <c r="J69" s="491">
        <v>0.10299999999999999</v>
      </c>
      <c r="K69" s="492">
        <v>9.4E-2</v>
      </c>
      <c r="L69" s="881">
        <v>8.5999999999999993E-2</v>
      </c>
      <c r="M69" s="600">
        <v>7.6999999999999999E-2</v>
      </c>
      <c r="N69" s="627">
        <v>6.7000000000000004E-2</v>
      </c>
      <c r="O69" s="594">
        <v>5.6000000000000001E-2</v>
      </c>
      <c r="P69" s="814">
        <v>4.3999999999999997E-2</v>
      </c>
      <c r="Q69" s="882">
        <v>3.3000000000000002E-2</v>
      </c>
      <c r="R69" s="500">
        <v>0.03</v>
      </c>
      <c r="S69" s="500">
        <v>0.03</v>
      </c>
      <c r="T69" s="308" t="e">
        <v>#DIV/0!</v>
      </c>
      <c r="U69" s="283"/>
      <c r="V69" s="269" t="s">
        <v>9</v>
      </c>
      <c r="W69" s="270">
        <v>92705417</v>
      </c>
      <c r="X69" s="270">
        <v>27802728</v>
      </c>
      <c r="Y69" s="578">
        <v>0.158</v>
      </c>
      <c r="Z69" s="564">
        <v>0.14299999999999999</v>
      </c>
      <c r="AA69" s="552">
        <v>0.13100000000000001</v>
      </c>
      <c r="AB69" s="553">
        <v>0.12</v>
      </c>
      <c r="AC69" s="501">
        <v>0.11</v>
      </c>
      <c r="AD69" s="511">
        <v>0.10100000000000001</v>
      </c>
      <c r="AE69" s="521">
        <v>9.1999999999999998E-2</v>
      </c>
      <c r="AF69" s="604">
        <v>8.2000000000000003E-2</v>
      </c>
      <c r="AG69" s="630">
        <v>7.2999999999999995E-2</v>
      </c>
      <c r="AH69" s="573">
        <v>6.3E-2</v>
      </c>
      <c r="AI69" s="595">
        <v>5.2999999999999999E-2</v>
      </c>
      <c r="AJ69" s="631">
        <v>4.2999999999999997E-2</v>
      </c>
      <c r="AK69" s="542">
        <v>3.4000000000000002E-2</v>
      </c>
      <c r="AL69" s="883">
        <v>3.2000000000000001E-2</v>
      </c>
      <c r="AM69" s="542">
        <v>3.4000000000000002E-2</v>
      </c>
      <c r="AN69" s="821">
        <v>2.3E-2</v>
      </c>
      <c r="AO69" s="260"/>
      <c r="AP69" s="260"/>
      <c r="AQ69" s="269" t="s">
        <v>9</v>
      </c>
      <c r="AR69" s="270">
        <v>92705417</v>
      </c>
      <c r="AS69" s="270">
        <v>27802728</v>
      </c>
      <c r="AT69" s="836">
        <v>0.16</v>
      </c>
      <c r="AU69" s="838">
        <v>0.14499999999999999</v>
      </c>
      <c r="AV69" s="608">
        <v>0.13200000000000001</v>
      </c>
      <c r="AW69" s="524">
        <v>0.12</v>
      </c>
      <c r="AX69" s="520">
        <v>0.11</v>
      </c>
      <c r="AY69" s="511">
        <v>0.1</v>
      </c>
      <c r="AZ69" s="572">
        <v>9.0999999999999998E-2</v>
      </c>
      <c r="BA69" s="606">
        <v>8.1000000000000003E-2</v>
      </c>
      <c r="BB69" s="605">
        <v>7.1999999999999995E-2</v>
      </c>
      <c r="BC69" s="573">
        <v>6.2E-2</v>
      </c>
      <c r="BD69" s="802">
        <v>5.1999999999999998E-2</v>
      </c>
      <c r="BE69" s="591">
        <v>4.2000000000000003E-2</v>
      </c>
      <c r="BF69" s="586">
        <v>3.5000000000000003E-2</v>
      </c>
      <c r="BG69" s="585">
        <v>3.3000000000000002E-2</v>
      </c>
      <c r="BH69" s="812">
        <v>2.9000000000000001E-2</v>
      </c>
      <c r="BI69" s="872">
        <v>6.6000000000000003E-2</v>
      </c>
      <c r="BJ69" s="260"/>
      <c r="BK69" s="260"/>
      <c r="BL69" s="269" t="s">
        <v>9</v>
      </c>
      <c r="BM69" s="270">
        <v>92705417</v>
      </c>
      <c r="BN69" s="270">
        <v>27802728</v>
      </c>
      <c r="BO69" s="840">
        <v>0.16500000000000001</v>
      </c>
      <c r="BP69" s="525">
        <v>0.14799999999999999</v>
      </c>
      <c r="BQ69" s="566">
        <v>0.13300000000000001</v>
      </c>
      <c r="BR69" s="517">
        <v>0.121</v>
      </c>
      <c r="BS69" s="501">
        <v>0.109</v>
      </c>
      <c r="BT69" s="491">
        <v>9.9000000000000005E-2</v>
      </c>
      <c r="BU69" s="492">
        <v>8.8999999999999996E-2</v>
      </c>
      <c r="BV69" s="606">
        <v>7.9000000000000001E-2</v>
      </c>
      <c r="BW69" s="605">
        <v>7.0000000000000007E-2</v>
      </c>
      <c r="BX69" s="634">
        <v>0.06</v>
      </c>
      <c r="BY69" s="530">
        <v>5.0999999999999997E-2</v>
      </c>
      <c r="BZ69" s="868">
        <v>4.2000000000000003E-2</v>
      </c>
      <c r="CA69" s="864">
        <v>3.5999999999999997E-2</v>
      </c>
      <c r="CB69" s="587">
        <v>3.5000000000000003E-2</v>
      </c>
      <c r="CC69" s="508">
        <v>2.3E-2</v>
      </c>
      <c r="CD69" s="884">
        <v>0.218</v>
      </c>
    </row>
    <row r="70" spans="1:82" x14ac:dyDescent="0.2">
      <c r="A70" s="260"/>
      <c r="B70" s="269" t="s">
        <v>10</v>
      </c>
      <c r="C70" s="270">
        <v>1243404656</v>
      </c>
      <c r="D70" s="270">
        <v>110876434</v>
      </c>
      <c r="E70" s="507">
        <v>4.2999999999999997E-2</v>
      </c>
      <c r="F70" s="814">
        <v>4.3999999999999997E-2</v>
      </c>
      <c r="G70" s="620">
        <v>4.4999999999999998E-2</v>
      </c>
      <c r="H70" s="515">
        <v>4.5999999999999999E-2</v>
      </c>
      <c r="I70" s="623">
        <v>4.7E-2</v>
      </c>
      <c r="J70" s="864">
        <v>4.8000000000000001E-2</v>
      </c>
      <c r="K70" s="885">
        <v>0.05</v>
      </c>
      <c r="L70" s="514">
        <v>5.1999999999999998E-2</v>
      </c>
      <c r="M70" s="868">
        <v>5.3999999999999999E-2</v>
      </c>
      <c r="N70" s="594">
        <v>5.6000000000000001E-2</v>
      </c>
      <c r="O70" s="633">
        <v>5.8999999999999997E-2</v>
      </c>
      <c r="P70" s="506">
        <v>6.4000000000000001E-2</v>
      </c>
      <c r="Q70" s="601">
        <v>7.0000000000000007E-2</v>
      </c>
      <c r="R70" s="529">
        <v>8.1000000000000003E-2</v>
      </c>
      <c r="S70" s="566">
        <v>0.129</v>
      </c>
      <c r="T70" s="308" t="e">
        <v>#DIV/0!</v>
      </c>
      <c r="U70" s="283"/>
      <c r="V70" s="269" t="s">
        <v>10</v>
      </c>
      <c r="W70" s="270">
        <v>1243404656</v>
      </c>
      <c r="X70" s="270">
        <v>110876434</v>
      </c>
      <c r="Y70" s="814">
        <v>3.6999999999999998E-2</v>
      </c>
      <c r="Z70" s="499">
        <v>3.7999999999999999E-2</v>
      </c>
      <c r="AA70" s="816">
        <v>0.04</v>
      </c>
      <c r="AB70" s="557">
        <v>4.2000000000000003E-2</v>
      </c>
      <c r="AC70" s="556">
        <v>4.2999999999999997E-2</v>
      </c>
      <c r="AD70" s="514">
        <v>4.4999999999999998E-2</v>
      </c>
      <c r="AE70" s="868">
        <v>4.8000000000000001E-2</v>
      </c>
      <c r="AF70" s="594">
        <v>0.05</v>
      </c>
      <c r="AG70" s="633">
        <v>5.2999999999999999E-2</v>
      </c>
      <c r="AH70" s="805">
        <v>5.7000000000000002E-2</v>
      </c>
      <c r="AI70" s="598">
        <v>6.2E-2</v>
      </c>
      <c r="AJ70" s="846">
        <v>6.8000000000000005E-2</v>
      </c>
      <c r="AK70" s="529">
        <v>7.6999999999999999E-2</v>
      </c>
      <c r="AL70" s="616">
        <v>9.1999999999999998E-2</v>
      </c>
      <c r="AM70" s="621">
        <v>0.159</v>
      </c>
      <c r="AN70" s="821">
        <v>2.3E-2</v>
      </c>
      <c r="AO70" s="260"/>
      <c r="AP70" s="260"/>
      <c r="AQ70" s="269" t="s">
        <v>10</v>
      </c>
      <c r="AR70" s="270">
        <v>1243404656</v>
      </c>
      <c r="AS70" s="270">
        <v>110876434</v>
      </c>
      <c r="AT70" s="814">
        <v>3.5000000000000003E-2</v>
      </c>
      <c r="AU70" s="499">
        <v>3.6999999999999998E-2</v>
      </c>
      <c r="AV70" s="623">
        <v>3.7999999999999999E-2</v>
      </c>
      <c r="AW70" s="864">
        <v>0.04</v>
      </c>
      <c r="AX70" s="592">
        <v>4.2000000000000003E-2</v>
      </c>
      <c r="AY70" s="588">
        <v>4.3999999999999997E-2</v>
      </c>
      <c r="AZ70" s="589">
        <v>4.7E-2</v>
      </c>
      <c r="BA70" s="574">
        <v>0.05</v>
      </c>
      <c r="BB70" s="629">
        <v>5.2999999999999999E-2</v>
      </c>
      <c r="BC70" s="813">
        <v>5.8000000000000003E-2</v>
      </c>
      <c r="BD70" s="634">
        <v>6.3E-2</v>
      </c>
      <c r="BE70" s="834">
        <v>6.9000000000000006E-2</v>
      </c>
      <c r="BF70" s="808">
        <v>7.9000000000000001E-2</v>
      </c>
      <c r="BG70" s="886">
        <v>9.6000000000000002E-2</v>
      </c>
      <c r="BH70" s="563">
        <v>0.16700000000000001</v>
      </c>
      <c r="BI70" s="821">
        <v>0.02</v>
      </c>
      <c r="BJ70" s="260"/>
      <c r="BK70" s="260"/>
      <c r="BL70" s="269" t="s">
        <v>10</v>
      </c>
      <c r="BM70" s="270">
        <v>1243404656</v>
      </c>
      <c r="BN70" s="270">
        <v>110876434</v>
      </c>
      <c r="BO70" s="814">
        <v>3.1E-2</v>
      </c>
      <c r="BP70" s="515">
        <v>3.3000000000000002E-2</v>
      </c>
      <c r="BQ70" s="587">
        <v>3.5000000000000003E-2</v>
      </c>
      <c r="BR70" s="556">
        <v>3.6999999999999998E-2</v>
      </c>
      <c r="BS70" s="514">
        <v>0.04</v>
      </c>
      <c r="BT70" s="596">
        <v>4.2999999999999997E-2</v>
      </c>
      <c r="BU70" s="590">
        <v>4.5999999999999999E-2</v>
      </c>
      <c r="BV70" s="624">
        <v>4.9000000000000002E-2</v>
      </c>
      <c r="BW70" s="506">
        <v>5.3999999999999999E-2</v>
      </c>
      <c r="BX70" s="541">
        <v>5.8999999999999997E-2</v>
      </c>
      <c r="BY70" s="505">
        <v>6.5000000000000002E-2</v>
      </c>
      <c r="BZ70" s="555">
        <v>7.2999999999999995E-2</v>
      </c>
      <c r="CA70" s="637">
        <v>8.4000000000000005E-2</v>
      </c>
      <c r="CB70" s="534">
        <v>0.10199999999999999</v>
      </c>
      <c r="CC70" s="887">
        <v>0.17799999999999999</v>
      </c>
      <c r="CD70" s="821">
        <v>1.4999999999999999E-2</v>
      </c>
    </row>
    <row r="71" spans="1:82" x14ac:dyDescent="0.2">
      <c r="A71" s="260"/>
      <c r="B71" s="269" t="s">
        <v>11</v>
      </c>
      <c r="C71" s="270">
        <v>195405555</v>
      </c>
      <c r="D71" s="270">
        <v>75892247</v>
      </c>
      <c r="E71" s="559">
        <v>0.124</v>
      </c>
      <c r="F71" s="888">
        <v>0.121</v>
      </c>
      <c r="G71" s="571">
        <v>0.11799999999999999</v>
      </c>
      <c r="H71" s="524">
        <v>0.115</v>
      </c>
      <c r="I71" s="519">
        <v>0.113</v>
      </c>
      <c r="J71" s="532">
        <v>0.11</v>
      </c>
      <c r="K71" s="490">
        <v>0.107</v>
      </c>
      <c r="L71" s="510">
        <v>0.105</v>
      </c>
      <c r="M71" s="502">
        <v>0.10100000000000001</v>
      </c>
      <c r="N71" s="878">
        <v>9.8000000000000004E-2</v>
      </c>
      <c r="O71" s="503">
        <v>9.2999999999999999E-2</v>
      </c>
      <c r="P71" s="889">
        <v>8.5000000000000006E-2</v>
      </c>
      <c r="Q71" s="846">
        <v>7.2999999999999995E-2</v>
      </c>
      <c r="R71" s="631">
        <v>4.9000000000000002E-2</v>
      </c>
      <c r="S71" s="500">
        <v>0.03</v>
      </c>
      <c r="T71" s="308" t="e">
        <v>#DIV/0!</v>
      </c>
      <c r="U71" s="283"/>
      <c r="V71" s="269" t="s">
        <v>11</v>
      </c>
      <c r="W71" s="270">
        <v>195405555</v>
      </c>
      <c r="X71" s="270">
        <v>75892247</v>
      </c>
      <c r="Y71" s="547">
        <v>0.128</v>
      </c>
      <c r="Z71" s="608">
        <v>0.124</v>
      </c>
      <c r="AA71" s="553">
        <v>0.121</v>
      </c>
      <c r="AB71" s="561">
        <v>0.11700000000000001</v>
      </c>
      <c r="AC71" s="524">
        <v>0.114</v>
      </c>
      <c r="AD71" s="501">
        <v>0.111</v>
      </c>
      <c r="AE71" s="520">
        <v>0.108</v>
      </c>
      <c r="AF71" s="509">
        <v>0.104</v>
      </c>
      <c r="AG71" s="511">
        <v>0.1</v>
      </c>
      <c r="AH71" s="890">
        <v>9.6000000000000002E-2</v>
      </c>
      <c r="AI71" s="880">
        <v>0.09</v>
      </c>
      <c r="AJ71" s="881">
        <v>8.1000000000000003E-2</v>
      </c>
      <c r="AK71" s="505">
        <v>6.9000000000000006E-2</v>
      </c>
      <c r="AL71" s="588">
        <v>4.5999999999999999E-2</v>
      </c>
      <c r="AM71" s="500">
        <v>2.3E-2</v>
      </c>
      <c r="AN71" s="891">
        <v>9.4E-2</v>
      </c>
      <c r="AO71" s="260"/>
      <c r="AP71" s="260"/>
      <c r="AQ71" s="269" t="s">
        <v>11</v>
      </c>
      <c r="AR71" s="270">
        <v>195405555</v>
      </c>
      <c r="AS71" s="270">
        <v>75892247</v>
      </c>
      <c r="AT71" s="888">
        <v>0.13</v>
      </c>
      <c r="AU71" s="571">
        <v>0.125</v>
      </c>
      <c r="AV71" s="518">
        <v>0.121</v>
      </c>
      <c r="AW71" s="554">
        <v>0.11799999999999999</v>
      </c>
      <c r="AX71" s="501">
        <v>0.114</v>
      </c>
      <c r="AY71" s="520">
        <v>0.111</v>
      </c>
      <c r="AZ71" s="490">
        <v>0.108</v>
      </c>
      <c r="BA71" s="510">
        <v>0.104</v>
      </c>
      <c r="BB71" s="491">
        <v>0.1</v>
      </c>
      <c r="BC71" s="636">
        <v>9.5000000000000001E-2</v>
      </c>
      <c r="BD71" s="612">
        <v>8.8999999999999996E-2</v>
      </c>
      <c r="BE71" s="889">
        <v>0.08</v>
      </c>
      <c r="BF71" s="505">
        <v>6.7000000000000004E-2</v>
      </c>
      <c r="BG71" s="868">
        <v>4.5999999999999999E-2</v>
      </c>
      <c r="BH71" s="500">
        <v>0.02</v>
      </c>
      <c r="BI71" s="892">
        <v>0.13700000000000001</v>
      </c>
      <c r="BJ71" s="260"/>
      <c r="BK71" s="260"/>
      <c r="BL71" s="269" t="s">
        <v>11</v>
      </c>
      <c r="BM71" s="270">
        <v>195405555</v>
      </c>
      <c r="BN71" s="270">
        <v>75892247</v>
      </c>
      <c r="BO71" s="566">
        <v>0.13300000000000001</v>
      </c>
      <c r="BP71" s="839">
        <v>0.128</v>
      </c>
      <c r="BQ71" s="560">
        <v>0.123</v>
      </c>
      <c r="BR71" s="571">
        <v>0.11899999999999999</v>
      </c>
      <c r="BS71" s="518">
        <v>0.115</v>
      </c>
      <c r="BT71" s="519">
        <v>0.111</v>
      </c>
      <c r="BU71" s="520">
        <v>0.107</v>
      </c>
      <c r="BV71" s="509">
        <v>0.10299999999999999</v>
      </c>
      <c r="BW71" s="491">
        <v>9.9000000000000005E-2</v>
      </c>
      <c r="BX71" s="613">
        <v>9.2999999999999999E-2</v>
      </c>
      <c r="BY71" s="503">
        <v>8.6999999999999994E-2</v>
      </c>
      <c r="BZ71" s="875">
        <v>7.8E-2</v>
      </c>
      <c r="CA71" s="505">
        <v>6.5000000000000002E-2</v>
      </c>
      <c r="CB71" s="594">
        <v>4.4999999999999998E-2</v>
      </c>
      <c r="CC71" s="893">
        <v>1.7000000000000001E-2</v>
      </c>
      <c r="CD71" s="894">
        <v>0.185</v>
      </c>
    </row>
    <row r="72" spans="1:82" x14ac:dyDescent="0.2">
      <c r="A72" s="260"/>
      <c r="B72" s="459" t="s">
        <v>14</v>
      </c>
      <c r="C72" s="460">
        <v>4467075685</v>
      </c>
      <c r="D72" s="460">
        <v>1365370426</v>
      </c>
      <c r="E72" s="641">
        <v>0.09</v>
      </c>
      <c r="F72" s="472">
        <v>0.09</v>
      </c>
      <c r="G72" s="472">
        <v>0.09</v>
      </c>
      <c r="H72" s="472">
        <v>0.09</v>
      </c>
      <c r="I72" s="472">
        <v>0.09</v>
      </c>
      <c r="J72" s="472">
        <v>0.09</v>
      </c>
      <c r="K72" s="472">
        <v>0.09</v>
      </c>
      <c r="L72" s="472">
        <v>0.09</v>
      </c>
      <c r="M72" s="472">
        <v>0.09</v>
      </c>
      <c r="N72" s="472">
        <v>0.09</v>
      </c>
      <c r="O72" s="472">
        <v>0.09</v>
      </c>
      <c r="P72" s="472">
        <v>0.09</v>
      </c>
      <c r="Q72" s="472">
        <v>0.09</v>
      </c>
      <c r="R72" s="472">
        <v>0.09</v>
      </c>
      <c r="S72" s="472">
        <v>0.09</v>
      </c>
      <c r="T72" s="642">
        <v>0.09</v>
      </c>
      <c r="U72" s="474"/>
      <c r="V72" s="459" t="s">
        <v>14</v>
      </c>
      <c r="W72" s="460">
        <v>4467075685</v>
      </c>
      <c r="X72" s="460">
        <v>1365370426</v>
      </c>
      <c r="Y72" s="641">
        <v>0.09</v>
      </c>
      <c r="Z72" s="472">
        <v>0.09</v>
      </c>
      <c r="AA72" s="472">
        <v>0.09</v>
      </c>
      <c r="AB72" s="472">
        <v>0.09</v>
      </c>
      <c r="AC72" s="472">
        <v>0.09</v>
      </c>
      <c r="AD72" s="472">
        <v>0.09</v>
      </c>
      <c r="AE72" s="472">
        <v>0.09</v>
      </c>
      <c r="AF72" s="472">
        <v>0.09</v>
      </c>
      <c r="AG72" s="472">
        <v>0.09</v>
      </c>
      <c r="AH72" s="472">
        <v>0.09</v>
      </c>
      <c r="AI72" s="472">
        <v>0.09</v>
      </c>
      <c r="AJ72" s="472">
        <v>0.09</v>
      </c>
      <c r="AK72" s="472">
        <v>0.09</v>
      </c>
      <c r="AL72" s="472">
        <v>0.09</v>
      </c>
      <c r="AM72" s="472">
        <v>0.09</v>
      </c>
      <c r="AN72" s="642">
        <v>0.09</v>
      </c>
      <c r="AO72" s="260"/>
      <c r="AP72" s="260"/>
      <c r="AQ72" s="459" t="s">
        <v>14</v>
      </c>
      <c r="AR72" s="460">
        <v>4467075685</v>
      </c>
      <c r="AS72" s="460">
        <v>1365370426</v>
      </c>
      <c r="AT72" s="641">
        <v>0.09</v>
      </c>
      <c r="AU72" s="472">
        <v>0.09</v>
      </c>
      <c r="AV72" s="472">
        <v>0.09</v>
      </c>
      <c r="AW72" s="472">
        <v>0.09</v>
      </c>
      <c r="AX72" s="472">
        <v>0.09</v>
      </c>
      <c r="AY72" s="472">
        <v>0.09</v>
      </c>
      <c r="AZ72" s="472">
        <v>0.09</v>
      </c>
      <c r="BA72" s="472">
        <v>0.09</v>
      </c>
      <c r="BB72" s="472">
        <v>0.09</v>
      </c>
      <c r="BC72" s="472">
        <v>0.09</v>
      </c>
      <c r="BD72" s="472">
        <v>0.09</v>
      </c>
      <c r="BE72" s="472">
        <v>0.09</v>
      </c>
      <c r="BF72" s="472">
        <v>0.09</v>
      </c>
      <c r="BG72" s="472">
        <v>0.09</v>
      </c>
      <c r="BH72" s="472">
        <v>0.09</v>
      </c>
      <c r="BI72" s="642">
        <v>0.09</v>
      </c>
      <c r="BJ72" s="260"/>
      <c r="BK72" s="260"/>
      <c r="BL72" s="459" t="s">
        <v>14</v>
      </c>
      <c r="BM72" s="460">
        <v>4467075685</v>
      </c>
      <c r="BN72" s="460">
        <v>1365370426</v>
      </c>
      <c r="BO72" s="641">
        <v>0.09</v>
      </c>
      <c r="BP72" s="472">
        <v>0.09</v>
      </c>
      <c r="BQ72" s="472">
        <v>0.09</v>
      </c>
      <c r="BR72" s="472">
        <v>0.09</v>
      </c>
      <c r="BS72" s="472">
        <v>0.09</v>
      </c>
      <c r="BT72" s="472">
        <v>0.09</v>
      </c>
      <c r="BU72" s="472">
        <v>0.09</v>
      </c>
      <c r="BV72" s="472">
        <v>0.09</v>
      </c>
      <c r="BW72" s="472">
        <v>0.09</v>
      </c>
      <c r="BX72" s="472">
        <v>0.09</v>
      </c>
      <c r="BY72" s="472">
        <v>0.09</v>
      </c>
      <c r="BZ72" s="472">
        <v>0.09</v>
      </c>
      <c r="CA72" s="472">
        <v>0.09</v>
      </c>
      <c r="CB72" s="472">
        <v>0.09</v>
      </c>
      <c r="CC72" s="472">
        <v>0.09</v>
      </c>
      <c r="CD72" s="642">
        <v>0.09</v>
      </c>
    </row>
    <row r="73" spans="1:82" x14ac:dyDescent="0.2">
      <c r="A73" s="260"/>
      <c r="B73" s="260"/>
      <c r="C73" s="260"/>
      <c r="D73" s="260"/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60"/>
      <c r="T73" s="260"/>
      <c r="U73" s="260"/>
      <c r="V73" s="260"/>
      <c r="W73" s="260"/>
      <c r="X73" s="260"/>
      <c r="Y73" s="260"/>
      <c r="Z73" s="260"/>
      <c r="AA73" s="260"/>
      <c r="AB73" s="260"/>
      <c r="AC73" s="260"/>
      <c r="AD73" s="260"/>
      <c r="AE73" s="260"/>
      <c r="AF73" s="260"/>
      <c r="AG73" s="260"/>
      <c r="AH73" s="260"/>
      <c r="AI73" s="260"/>
      <c r="AJ73" s="260"/>
      <c r="AK73" s="260"/>
      <c r="AL73" s="260"/>
      <c r="AM73" s="260"/>
      <c r="AN73" s="260"/>
      <c r="AO73" s="260"/>
      <c r="AP73" s="260"/>
      <c r="AQ73" s="260"/>
      <c r="AR73" s="260"/>
      <c r="AS73" s="260"/>
      <c r="AT73" s="260"/>
      <c r="AU73" s="260"/>
      <c r="AV73" s="260"/>
      <c r="AW73" s="260"/>
      <c r="AX73" s="260"/>
      <c r="AY73" s="260"/>
      <c r="AZ73" s="260"/>
      <c r="BA73" s="260"/>
      <c r="BB73" s="260"/>
      <c r="BC73" s="260"/>
      <c r="BD73" s="260"/>
      <c r="BE73" s="260"/>
      <c r="BF73" s="260"/>
      <c r="BG73" s="260"/>
      <c r="BH73" s="260"/>
      <c r="BI73" s="260"/>
      <c r="BJ73" s="260"/>
      <c r="BK73" s="260"/>
      <c r="BL73" s="260"/>
      <c r="BM73" s="260"/>
      <c r="BN73" s="260"/>
      <c r="BO73" s="260"/>
      <c r="BP73" s="260"/>
      <c r="BQ73" s="260"/>
      <c r="BR73" s="260"/>
      <c r="BS73" s="260"/>
      <c r="BT73" s="260"/>
      <c r="BU73" s="260"/>
      <c r="BV73" s="260"/>
      <c r="BW73" s="260"/>
      <c r="BX73" s="260"/>
      <c r="BY73" s="260"/>
      <c r="BZ73" s="260"/>
      <c r="CA73" s="260"/>
      <c r="CB73" s="260"/>
      <c r="CC73" s="260"/>
      <c r="CD73" s="260"/>
    </row>
    <row r="74" spans="1:82" x14ac:dyDescent="0.2">
      <c r="A74" s="260"/>
      <c r="B74" s="260"/>
      <c r="C74" s="260"/>
      <c r="D74" s="260"/>
      <c r="E74" s="260"/>
      <c r="F74" s="260"/>
      <c r="G74" s="260"/>
      <c r="H74" s="260"/>
      <c r="I74" s="260"/>
      <c r="J74" s="260"/>
      <c r="K74" s="260"/>
      <c r="L74" s="260"/>
      <c r="M74" s="260"/>
      <c r="N74" s="260"/>
      <c r="O74" s="260"/>
      <c r="P74" s="260"/>
      <c r="Q74" s="260"/>
      <c r="R74" s="260"/>
      <c r="S74" s="260"/>
      <c r="T74" s="260"/>
      <c r="U74" s="260"/>
      <c r="V74" s="260"/>
      <c r="W74" s="260"/>
      <c r="X74" s="260"/>
      <c r="Y74" s="260"/>
      <c r="Z74" s="260"/>
      <c r="AA74" s="260"/>
      <c r="AB74" s="260"/>
      <c r="AC74" s="260"/>
      <c r="AD74" s="260"/>
      <c r="AE74" s="260"/>
      <c r="AF74" s="260"/>
      <c r="AG74" s="260"/>
      <c r="AH74" s="260"/>
      <c r="AI74" s="260"/>
      <c r="AJ74" s="260"/>
      <c r="AK74" s="260"/>
      <c r="AL74" s="260"/>
      <c r="AM74" s="260"/>
      <c r="AN74" s="260"/>
      <c r="AO74" s="260"/>
      <c r="AP74" s="260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  <c r="BB74" s="260"/>
      <c r="BC74" s="260"/>
      <c r="BD74" s="260"/>
      <c r="BE74" s="260"/>
      <c r="BF74" s="260"/>
      <c r="BG74" s="260"/>
      <c r="BH74" s="260"/>
      <c r="BI74" s="260"/>
      <c r="BJ74" s="260"/>
      <c r="BK74" s="260"/>
      <c r="BL74" s="260"/>
      <c r="BM74" s="260"/>
      <c r="BN74" s="260"/>
      <c r="BO74" s="260"/>
      <c r="BP74" s="260"/>
      <c r="BQ74" s="260"/>
      <c r="BR74" s="260"/>
      <c r="BS74" s="260"/>
      <c r="BT74" s="260"/>
      <c r="BU74" s="260"/>
      <c r="BV74" s="260"/>
      <c r="BW74" s="260"/>
      <c r="BX74" s="260"/>
      <c r="BY74" s="260"/>
      <c r="BZ74" s="260"/>
      <c r="CA74" s="260"/>
      <c r="CB74" s="260"/>
      <c r="CC74" s="260"/>
      <c r="CD74" s="260"/>
    </row>
    <row r="75" spans="1:82" ht="21" x14ac:dyDescent="0.25">
      <c r="A75" s="260"/>
      <c r="B75" s="105" t="s">
        <v>214</v>
      </c>
      <c r="C75" s="105"/>
      <c r="D75" s="105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0"/>
      <c r="V75" s="105" t="s">
        <v>217</v>
      </c>
      <c r="W75" s="105"/>
      <c r="X75" s="105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  <c r="AI75" s="262"/>
      <c r="AJ75" s="262"/>
      <c r="AK75" s="262"/>
      <c r="AL75" s="262"/>
      <c r="AM75" s="262"/>
      <c r="AN75" s="262"/>
      <c r="AO75" s="260"/>
      <c r="AP75" s="260"/>
      <c r="AQ75" s="105" t="s">
        <v>220</v>
      </c>
      <c r="AR75" s="105"/>
      <c r="AS75" s="105"/>
      <c r="AT75" s="262"/>
      <c r="AU75" s="262"/>
      <c r="AV75" s="262"/>
      <c r="AW75" s="262"/>
      <c r="AX75" s="262"/>
      <c r="AY75" s="262"/>
      <c r="AZ75" s="262"/>
      <c r="BA75" s="262"/>
      <c r="BB75" s="262"/>
      <c r="BC75" s="262"/>
      <c r="BD75" s="262"/>
      <c r="BE75" s="262"/>
      <c r="BF75" s="262"/>
      <c r="BG75" s="262"/>
      <c r="BH75" s="262"/>
      <c r="BI75" s="262"/>
      <c r="BJ75" s="260"/>
      <c r="BK75" s="260"/>
      <c r="BL75" s="105" t="s">
        <v>222</v>
      </c>
      <c r="BM75" s="105"/>
      <c r="BN75" s="105"/>
      <c r="BO75" s="262"/>
      <c r="BP75" s="262"/>
      <c r="BQ75" s="262"/>
      <c r="BR75" s="262"/>
      <c r="BS75" s="262"/>
      <c r="BT75" s="262"/>
      <c r="BU75" s="262"/>
      <c r="BV75" s="262"/>
      <c r="BW75" s="262"/>
      <c r="BX75" s="262"/>
      <c r="BY75" s="262"/>
      <c r="BZ75" s="262"/>
      <c r="CA75" s="262"/>
      <c r="CB75" s="262"/>
      <c r="CC75" s="262"/>
      <c r="CD75" s="262"/>
    </row>
    <row r="76" spans="1:82" x14ac:dyDescent="0.2">
      <c r="A76" s="260"/>
      <c r="B76" s="260"/>
      <c r="C76" s="260"/>
      <c r="D76" s="260"/>
      <c r="E76" s="260"/>
      <c r="F76" s="260"/>
      <c r="G76" s="260"/>
      <c r="H76" s="260"/>
      <c r="I76" s="260"/>
      <c r="J76" s="260"/>
      <c r="K76" s="260"/>
      <c r="L76" s="260"/>
      <c r="M76" s="26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0"/>
      <c r="Y76" s="260"/>
      <c r="Z76" s="260"/>
      <c r="AA76" s="260"/>
      <c r="AB76" s="260"/>
      <c r="AC76" s="260"/>
      <c r="AD76" s="260"/>
      <c r="AE76" s="260"/>
      <c r="AF76" s="260"/>
      <c r="AG76" s="260"/>
      <c r="AH76" s="260"/>
      <c r="AI76" s="260"/>
      <c r="AJ76" s="260"/>
      <c r="AK76" s="260"/>
      <c r="AL76" s="260"/>
      <c r="AM76" s="260"/>
      <c r="AN76" s="260"/>
      <c r="AO76" s="260"/>
      <c r="AP76" s="260"/>
      <c r="AQ76" s="260"/>
      <c r="AR76" s="260"/>
      <c r="AS76" s="260"/>
      <c r="AT76" s="260"/>
      <c r="AU76" s="260"/>
      <c r="AV76" s="260"/>
      <c r="AW76" s="260"/>
      <c r="AX76" s="260"/>
      <c r="AY76" s="260"/>
      <c r="AZ76" s="260"/>
      <c r="BA76" s="260"/>
      <c r="BB76" s="260"/>
      <c r="BC76" s="260"/>
      <c r="BD76" s="260"/>
      <c r="BE76" s="260"/>
      <c r="BF76" s="260"/>
      <c r="BG76" s="260"/>
      <c r="BH76" s="260"/>
      <c r="BI76" s="260"/>
      <c r="BJ76" s="260"/>
      <c r="BK76" s="260"/>
      <c r="BL76" s="260"/>
      <c r="BM76" s="260"/>
      <c r="BN76" s="260"/>
      <c r="BO76" s="260"/>
      <c r="BP76" s="260"/>
      <c r="BQ76" s="260"/>
      <c r="BR76" s="260"/>
      <c r="BS76" s="260"/>
      <c r="BT76" s="260"/>
      <c r="BU76" s="260"/>
      <c r="BV76" s="260"/>
      <c r="BW76" s="260"/>
      <c r="BX76" s="260"/>
      <c r="BY76" s="260"/>
      <c r="BZ76" s="260"/>
      <c r="CA76" s="260"/>
      <c r="CB76" s="260"/>
      <c r="CC76" s="260"/>
      <c r="CD76" s="260"/>
    </row>
    <row r="77" spans="1:82" ht="19" x14ac:dyDescent="0.25">
      <c r="A77" s="260"/>
      <c r="B77" s="263" t="s">
        <v>66</v>
      </c>
      <c r="C77" s="260"/>
      <c r="D77" s="260"/>
      <c r="E77" s="260"/>
      <c r="F77" s="260"/>
      <c r="G77" s="260"/>
      <c r="H77" s="260"/>
      <c r="I77" s="260"/>
      <c r="J77" s="260"/>
      <c r="K77" s="260"/>
      <c r="L77" s="260"/>
      <c r="M77" s="260"/>
      <c r="N77" s="260"/>
      <c r="O77" s="260"/>
      <c r="P77" s="260"/>
      <c r="Q77" s="260"/>
      <c r="R77" s="260"/>
      <c r="S77" s="260"/>
      <c r="T77" s="260"/>
      <c r="U77" s="260"/>
      <c r="V77" s="263" t="s">
        <v>66</v>
      </c>
      <c r="W77" s="263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  <c r="AP77" s="260"/>
      <c r="AQ77" s="263" t="s">
        <v>66</v>
      </c>
      <c r="AR77" s="263"/>
      <c r="AS77" s="260"/>
      <c r="AT77" s="260"/>
      <c r="AU77" s="260"/>
      <c r="AV77" s="260"/>
      <c r="AW77" s="260"/>
      <c r="AX77" s="260"/>
      <c r="AY77" s="260"/>
      <c r="AZ77" s="260"/>
      <c r="BA77" s="260"/>
      <c r="BB77" s="260"/>
      <c r="BC77" s="260"/>
      <c r="BD77" s="260"/>
      <c r="BE77" s="260"/>
      <c r="BF77" s="260"/>
      <c r="BG77" s="260"/>
      <c r="BH77" s="260"/>
      <c r="BI77" s="260"/>
      <c r="BJ77" s="260"/>
      <c r="BK77" s="260"/>
      <c r="BL77" s="263" t="s">
        <v>66</v>
      </c>
      <c r="BM77" s="263"/>
      <c r="BN77" s="260"/>
      <c r="BO77" s="260"/>
      <c r="BP77" s="260"/>
      <c r="BQ77" s="260"/>
      <c r="BR77" s="260"/>
      <c r="BS77" s="260"/>
      <c r="BT77" s="260"/>
      <c r="BU77" s="260"/>
      <c r="BV77" s="260"/>
      <c r="BW77" s="260"/>
      <c r="BX77" s="260"/>
      <c r="BY77" s="260"/>
      <c r="BZ77" s="260"/>
      <c r="CA77" s="260"/>
      <c r="CB77" s="260"/>
      <c r="CC77" s="260"/>
      <c r="CD77" s="260"/>
    </row>
    <row r="78" spans="1:82" ht="32" x14ac:dyDescent="0.2">
      <c r="A78" s="260"/>
      <c r="B78" s="264" t="s">
        <v>12</v>
      </c>
      <c r="C78" s="265" t="s">
        <v>15</v>
      </c>
      <c r="D78" s="265" t="s">
        <v>13</v>
      </c>
      <c r="E78" s="265" t="s">
        <v>37</v>
      </c>
      <c r="F78" s="265" t="s">
        <v>35</v>
      </c>
      <c r="G78" s="265" t="s">
        <v>36</v>
      </c>
      <c r="H78" s="265" t="s">
        <v>38</v>
      </c>
      <c r="I78" s="265" t="s">
        <v>39</v>
      </c>
      <c r="J78" s="265" t="s">
        <v>40</v>
      </c>
      <c r="K78" s="265" t="s">
        <v>41</v>
      </c>
      <c r="L78" s="265" t="s">
        <v>42</v>
      </c>
      <c r="M78" s="265" t="s">
        <v>43</v>
      </c>
      <c r="N78" s="265" t="s">
        <v>44</v>
      </c>
      <c r="O78" s="265" t="s">
        <v>45</v>
      </c>
      <c r="P78" s="265" t="s">
        <v>46</v>
      </c>
      <c r="Q78" s="266" t="s">
        <v>47</v>
      </c>
      <c r="R78" s="266" t="s">
        <v>75</v>
      </c>
      <c r="S78" s="266" t="s">
        <v>76</v>
      </c>
      <c r="T78" s="267" t="s">
        <v>77</v>
      </c>
      <c r="U78" s="260"/>
      <c r="V78" s="264" t="s">
        <v>12</v>
      </c>
      <c r="W78" s="265" t="s">
        <v>15</v>
      </c>
      <c r="X78" s="265" t="s">
        <v>13</v>
      </c>
      <c r="Y78" s="265" t="s">
        <v>37</v>
      </c>
      <c r="Z78" s="265" t="s">
        <v>35</v>
      </c>
      <c r="AA78" s="265" t="s">
        <v>36</v>
      </c>
      <c r="AB78" s="265" t="s">
        <v>38</v>
      </c>
      <c r="AC78" s="265" t="s">
        <v>39</v>
      </c>
      <c r="AD78" s="265" t="s">
        <v>40</v>
      </c>
      <c r="AE78" s="265" t="s">
        <v>41</v>
      </c>
      <c r="AF78" s="265" t="s">
        <v>42</v>
      </c>
      <c r="AG78" s="265" t="s">
        <v>43</v>
      </c>
      <c r="AH78" s="265" t="s">
        <v>44</v>
      </c>
      <c r="AI78" s="265" t="s">
        <v>45</v>
      </c>
      <c r="AJ78" s="265" t="s">
        <v>46</v>
      </c>
      <c r="AK78" s="266" t="s">
        <v>47</v>
      </c>
      <c r="AL78" s="266" t="s">
        <v>75</v>
      </c>
      <c r="AM78" s="266" t="s">
        <v>76</v>
      </c>
      <c r="AN78" s="267" t="s">
        <v>77</v>
      </c>
      <c r="AO78" s="260"/>
      <c r="AP78" s="260"/>
      <c r="AQ78" s="264" t="s">
        <v>12</v>
      </c>
      <c r="AR78" s="265" t="s">
        <v>15</v>
      </c>
      <c r="AS78" s="265" t="s">
        <v>13</v>
      </c>
      <c r="AT78" s="265" t="s">
        <v>37</v>
      </c>
      <c r="AU78" s="265" t="s">
        <v>35</v>
      </c>
      <c r="AV78" s="265" t="s">
        <v>36</v>
      </c>
      <c r="AW78" s="265" t="s">
        <v>38</v>
      </c>
      <c r="AX78" s="265" t="s">
        <v>39</v>
      </c>
      <c r="AY78" s="265" t="s">
        <v>40</v>
      </c>
      <c r="AZ78" s="265" t="s">
        <v>41</v>
      </c>
      <c r="BA78" s="265" t="s">
        <v>42</v>
      </c>
      <c r="BB78" s="265" t="s">
        <v>43</v>
      </c>
      <c r="BC78" s="265" t="s">
        <v>44</v>
      </c>
      <c r="BD78" s="265" t="s">
        <v>45</v>
      </c>
      <c r="BE78" s="265" t="s">
        <v>46</v>
      </c>
      <c r="BF78" s="266" t="s">
        <v>47</v>
      </c>
      <c r="BG78" s="266" t="s">
        <v>75</v>
      </c>
      <c r="BH78" s="266" t="s">
        <v>76</v>
      </c>
      <c r="BI78" s="267" t="s">
        <v>77</v>
      </c>
      <c r="BJ78" s="260"/>
      <c r="BK78" s="260"/>
      <c r="BL78" s="264" t="s">
        <v>12</v>
      </c>
      <c r="BM78" s="265" t="s">
        <v>15</v>
      </c>
      <c r="BN78" s="265" t="s">
        <v>13</v>
      </c>
      <c r="BO78" s="265" t="s">
        <v>37</v>
      </c>
      <c r="BP78" s="265" t="s">
        <v>35</v>
      </c>
      <c r="BQ78" s="265" t="s">
        <v>36</v>
      </c>
      <c r="BR78" s="265" t="s">
        <v>38</v>
      </c>
      <c r="BS78" s="265" t="s">
        <v>39</v>
      </c>
      <c r="BT78" s="265" t="s">
        <v>40</v>
      </c>
      <c r="BU78" s="265" t="s">
        <v>41</v>
      </c>
      <c r="BV78" s="265" t="s">
        <v>42</v>
      </c>
      <c r="BW78" s="265" t="s">
        <v>43</v>
      </c>
      <c r="BX78" s="265" t="s">
        <v>44</v>
      </c>
      <c r="BY78" s="265" t="s">
        <v>45</v>
      </c>
      <c r="BZ78" s="265" t="s">
        <v>46</v>
      </c>
      <c r="CA78" s="266" t="s">
        <v>47</v>
      </c>
      <c r="CB78" s="266" t="s">
        <v>75</v>
      </c>
      <c r="CC78" s="266" t="s">
        <v>76</v>
      </c>
      <c r="CD78" s="267" t="s">
        <v>77</v>
      </c>
    </row>
    <row r="79" spans="1:82" x14ac:dyDescent="0.2">
      <c r="A79" s="260"/>
      <c r="B79" s="269" t="s">
        <v>0</v>
      </c>
      <c r="C79" s="270">
        <v>74061018</v>
      </c>
      <c r="D79" s="270">
        <v>20012871</v>
      </c>
      <c r="E79" s="446">
        <v>0.34</v>
      </c>
      <c r="F79" s="310">
        <v>0.32</v>
      </c>
      <c r="G79" s="432">
        <v>0.31</v>
      </c>
      <c r="H79" s="366">
        <v>0.3</v>
      </c>
      <c r="I79" s="700">
        <v>0.28000000000000003</v>
      </c>
      <c r="J79" s="391">
        <v>0.27</v>
      </c>
      <c r="K79" s="339">
        <v>0.26</v>
      </c>
      <c r="L79" s="425">
        <v>0.24</v>
      </c>
      <c r="M79" s="276">
        <v>0.23</v>
      </c>
      <c r="N79" s="895">
        <v>0.22</v>
      </c>
      <c r="O79" s="896">
        <v>0.2</v>
      </c>
      <c r="P79" s="712">
        <v>0.19</v>
      </c>
      <c r="Q79" s="897">
        <v>0.18</v>
      </c>
      <c r="R79" s="898">
        <v>0.17</v>
      </c>
      <c r="S79" s="899">
        <v>0.16</v>
      </c>
      <c r="T79" s="900">
        <v>0.14399999999999999</v>
      </c>
      <c r="U79" s="260"/>
      <c r="V79" s="269" t="s">
        <v>0</v>
      </c>
      <c r="W79" s="270">
        <v>74061018</v>
      </c>
      <c r="X79" s="270">
        <v>20012871</v>
      </c>
      <c r="Y79" s="387">
        <v>0.34</v>
      </c>
      <c r="Z79" s="293">
        <v>0.32</v>
      </c>
      <c r="AA79" s="438">
        <v>0.31</v>
      </c>
      <c r="AB79" s="325">
        <v>0.28999999999999998</v>
      </c>
      <c r="AC79" s="700">
        <v>0.28000000000000003</v>
      </c>
      <c r="AD79" s="750">
        <v>0.26</v>
      </c>
      <c r="AE79" s="720">
        <v>0.25</v>
      </c>
      <c r="AF79" s="412">
        <v>0.24</v>
      </c>
      <c r="AG79" s="662">
        <v>0.22</v>
      </c>
      <c r="AH79" s="693">
        <v>0.21</v>
      </c>
      <c r="AI79" s="735">
        <v>0.2</v>
      </c>
      <c r="AJ79" s="648">
        <v>0.19</v>
      </c>
      <c r="AK79" s="901">
        <v>0.17</v>
      </c>
      <c r="AL79" s="902">
        <v>0.16</v>
      </c>
      <c r="AM79" s="903">
        <v>0.15</v>
      </c>
      <c r="AN79" s="904">
        <v>0.14099999999999999</v>
      </c>
      <c r="AO79" s="260"/>
      <c r="AP79" s="260"/>
      <c r="AQ79" s="269" t="s">
        <v>0</v>
      </c>
      <c r="AR79" s="270">
        <v>74061018</v>
      </c>
      <c r="AS79" s="270">
        <v>20012871</v>
      </c>
      <c r="AT79" s="338">
        <v>0.34</v>
      </c>
      <c r="AU79" s="293">
        <v>0.32</v>
      </c>
      <c r="AV79" s="438">
        <v>0.31</v>
      </c>
      <c r="AW79" s="366">
        <v>0.28999999999999998</v>
      </c>
      <c r="AX79" s="406">
        <v>0.28000000000000003</v>
      </c>
      <c r="AY79" s="752">
        <v>0.26</v>
      </c>
      <c r="AZ79" s="676">
        <v>0.25</v>
      </c>
      <c r="BA79" s="356">
        <v>0.24</v>
      </c>
      <c r="BB79" s="442">
        <v>0.22</v>
      </c>
      <c r="BC79" s="407">
        <v>0.21</v>
      </c>
      <c r="BD79" s="673">
        <v>0.2</v>
      </c>
      <c r="BE79" s="748">
        <v>0.19</v>
      </c>
      <c r="BF79" s="905">
        <v>0.17</v>
      </c>
      <c r="BG79" s="906">
        <v>0.16</v>
      </c>
      <c r="BH79" s="907">
        <v>0.15</v>
      </c>
      <c r="BI79" s="908">
        <v>0.14000000000000001</v>
      </c>
      <c r="BJ79" s="260"/>
      <c r="BK79" s="260"/>
      <c r="BL79" s="269" t="s">
        <v>0</v>
      </c>
      <c r="BM79" s="270">
        <v>74061018</v>
      </c>
      <c r="BN79" s="270">
        <v>20012871</v>
      </c>
      <c r="BO79" s="445">
        <v>0.34</v>
      </c>
      <c r="BP79" s="405">
        <v>0.32</v>
      </c>
      <c r="BQ79" s="909">
        <v>0.31</v>
      </c>
      <c r="BR79" s="362">
        <v>0.28999999999999998</v>
      </c>
      <c r="BS79" s="700">
        <v>0.28000000000000003</v>
      </c>
      <c r="BT79" s="752">
        <v>0.26</v>
      </c>
      <c r="BU79" s="676">
        <v>0.25</v>
      </c>
      <c r="BV79" s="356">
        <v>0.23</v>
      </c>
      <c r="BW79" s="442">
        <v>0.22</v>
      </c>
      <c r="BX79" s="728">
        <v>0.21</v>
      </c>
      <c r="BY79" s="716">
        <v>0.19</v>
      </c>
      <c r="BZ79" s="717">
        <v>0.18</v>
      </c>
      <c r="CA79" s="910">
        <v>0.17</v>
      </c>
      <c r="CB79" s="911">
        <v>0.16</v>
      </c>
      <c r="CC79" s="907">
        <v>0.15</v>
      </c>
      <c r="CD79" s="912">
        <v>0.13900000000000001</v>
      </c>
    </row>
    <row r="80" spans="1:82" x14ac:dyDescent="0.2">
      <c r="A80" s="260"/>
      <c r="B80" s="269" t="s">
        <v>1</v>
      </c>
      <c r="C80" s="270">
        <v>164966422</v>
      </c>
      <c r="D80" s="270">
        <v>66753996</v>
      </c>
      <c r="E80" s="913">
        <v>0.41</v>
      </c>
      <c r="F80" s="653">
        <v>0.4</v>
      </c>
      <c r="G80" s="380">
        <v>0.39</v>
      </c>
      <c r="H80" s="292">
        <v>0.38</v>
      </c>
      <c r="I80" s="428">
        <v>0.37</v>
      </c>
      <c r="J80" s="303">
        <v>0.35</v>
      </c>
      <c r="K80" s="387">
        <v>0.34</v>
      </c>
      <c r="L80" s="447">
        <v>0.33</v>
      </c>
      <c r="M80" s="310">
        <v>0.32</v>
      </c>
      <c r="N80" s="914">
        <v>0.31</v>
      </c>
      <c r="O80" s="691">
        <v>0.3</v>
      </c>
      <c r="P80" s="389">
        <v>0.28999999999999998</v>
      </c>
      <c r="Q80" s="440">
        <v>0.28000000000000003</v>
      </c>
      <c r="R80" s="752">
        <v>0.27</v>
      </c>
      <c r="S80" s="719">
        <v>0.25</v>
      </c>
      <c r="T80" s="915">
        <v>0.24299999999999999</v>
      </c>
      <c r="U80" s="260"/>
      <c r="V80" s="269" t="s">
        <v>1</v>
      </c>
      <c r="W80" s="270">
        <v>164966422</v>
      </c>
      <c r="X80" s="270">
        <v>66753996</v>
      </c>
      <c r="Y80" s="386">
        <v>0.41</v>
      </c>
      <c r="Z80" s="329">
        <v>0.39</v>
      </c>
      <c r="AA80" s="380">
        <v>0.38</v>
      </c>
      <c r="AB80" s="317">
        <v>0.37</v>
      </c>
      <c r="AC80" s="428">
        <v>0.36</v>
      </c>
      <c r="AD80" s="303">
        <v>0.35</v>
      </c>
      <c r="AE80" s="387">
        <v>0.34</v>
      </c>
      <c r="AF80" s="405">
        <v>0.33</v>
      </c>
      <c r="AG80" s="275">
        <v>0.31</v>
      </c>
      <c r="AH80" s="916">
        <v>0.3</v>
      </c>
      <c r="AI80" s="330">
        <v>0.28999999999999998</v>
      </c>
      <c r="AJ80" s="700">
        <v>0.28000000000000003</v>
      </c>
      <c r="AK80" s="391">
        <v>0.27</v>
      </c>
      <c r="AL80" s="727">
        <v>0.25</v>
      </c>
      <c r="AM80" s="755">
        <v>0.24</v>
      </c>
      <c r="AN80" s="917">
        <v>0.23100000000000001</v>
      </c>
      <c r="AO80" s="260"/>
      <c r="AP80" s="260"/>
      <c r="AQ80" s="269" t="s">
        <v>1</v>
      </c>
      <c r="AR80" s="270">
        <v>164966422</v>
      </c>
      <c r="AS80" s="270">
        <v>66753996</v>
      </c>
      <c r="AT80" s="386">
        <v>0.41</v>
      </c>
      <c r="AU80" s="329">
        <v>0.39</v>
      </c>
      <c r="AV80" s="380">
        <v>0.38</v>
      </c>
      <c r="AW80" s="292">
        <v>0.37</v>
      </c>
      <c r="AX80" s="743">
        <v>0.36</v>
      </c>
      <c r="AY80" s="675">
        <v>0.35</v>
      </c>
      <c r="AZ80" s="403">
        <v>0.33</v>
      </c>
      <c r="BA80" s="293">
        <v>0.32</v>
      </c>
      <c r="BB80" s="909">
        <v>0.31</v>
      </c>
      <c r="BC80" s="377">
        <v>0.3</v>
      </c>
      <c r="BD80" s="396">
        <v>0.28999999999999998</v>
      </c>
      <c r="BE80" s="440">
        <v>0.27</v>
      </c>
      <c r="BF80" s="752">
        <v>0.26</v>
      </c>
      <c r="BG80" s="720">
        <v>0.25</v>
      </c>
      <c r="BH80" s="435">
        <v>0.24</v>
      </c>
      <c r="BI80" s="918">
        <v>0.22700000000000001</v>
      </c>
      <c r="BJ80" s="260"/>
      <c r="BK80" s="260"/>
      <c r="BL80" s="269" t="s">
        <v>1</v>
      </c>
      <c r="BM80" s="270">
        <v>164966422</v>
      </c>
      <c r="BN80" s="270">
        <v>66753996</v>
      </c>
      <c r="BO80" s="353">
        <v>0.41</v>
      </c>
      <c r="BP80" s="324">
        <v>0.39</v>
      </c>
      <c r="BQ80" s="376">
        <v>0.38</v>
      </c>
      <c r="BR80" s="292">
        <v>0.37</v>
      </c>
      <c r="BS80" s="743">
        <v>0.36</v>
      </c>
      <c r="BT80" s="675">
        <v>0.34</v>
      </c>
      <c r="BU80" s="403">
        <v>0.33</v>
      </c>
      <c r="BV80" s="293">
        <v>0.32</v>
      </c>
      <c r="BW80" s="909">
        <v>0.31</v>
      </c>
      <c r="BX80" s="381">
        <v>0.28999999999999998</v>
      </c>
      <c r="BY80" s="389">
        <v>0.28000000000000003</v>
      </c>
      <c r="BZ80" s="919">
        <v>0.27</v>
      </c>
      <c r="CA80" s="399">
        <v>0.26</v>
      </c>
      <c r="CB80" s="721">
        <v>0.24</v>
      </c>
      <c r="CC80" s="356">
        <v>0.23</v>
      </c>
      <c r="CD80" s="920">
        <v>0.221</v>
      </c>
    </row>
    <row r="81" spans="1:82" x14ac:dyDescent="0.2">
      <c r="A81" s="260"/>
      <c r="B81" s="269" t="s">
        <v>2</v>
      </c>
      <c r="C81" s="270">
        <v>111850438</v>
      </c>
      <c r="D81" s="270">
        <v>59635518</v>
      </c>
      <c r="E81" s="689">
        <v>0.56999999999999995</v>
      </c>
      <c r="F81" s="335">
        <v>0.55000000000000004</v>
      </c>
      <c r="G81" s="373">
        <v>0.53</v>
      </c>
      <c r="H81" s="374">
        <v>0.51</v>
      </c>
      <c r="I81" s="342">
        <v>0.49</v>
      </c>
      <c r="J81" s="289">
        <v>0.47</v>
      </c>
      <c r="K81" s="418">
        <v>0.45</v>
      </c>
      <c r="L81" s="419">
        <v>0.43</v>
      </c>
      <c r="M81" s="386">
        <v>0.41</v>
      </c>
      <c r="N81" s="347">
        <v>0.39</v>
      </c>
      <c r="O81" s="430">
        <v>0.37</v>
      </c>
      <c r="P81" s="675">
        <v>0.35</v>
      </c>
      <c r="Q81" s="404">
        <v>0.33</v>
      </c>
      <c r="R81" s="909">
        <v>0.32</v>
      </c>
      <c r="S81" s="325">
        <v>0.3</v>
      </c>
      <c r="T81" s="921">
        <v>0.27900000000000003</v>
      </c>
      <c r="U81" s="260"/>
      <c r="V81" s="269" t="s">
        <v>2</v>
      </c>
      <c r="W81" s="270">
        <v>111850438</v>
      </c>
      <c r="X81" s="270">
        <v>59635518</v>
      </c>
      <c r="Y81" s="922">
        <v>0.56999999999999995</v>
      </c>
      <c r="Z81" s="368">
        <v>0.54</v>
      </c>
      <c r="AA81" s="341">
        <v>0.52</v>
      </c>
      <c r="AB81" s="415">
        <v>0.5</v>
      </c>
      <c r="AC81" s="731">
        <v>0.47</v>
      </c>
      <c r="AD81" s="734">
        <v>0.45</v>
      </c>
      <c r="AE81" s="316">
        <v>0.43</v>
      </c>
      <c r="AF81" s="353">
        <v>0.41</v>
      </c>
      <c r="AG81" s="347">
        <v>0.39</v>
      </c>
      <c r="AH81" s="646">
        <v>0.37</v>
      </c>
      <c r="AI81" s="274">
        <v>0.35</v>
      </c>
      <c r="AJ81" s="452">
        <v>0.33</v>
      </c>
      <c r="AK81" s="914">
        <v>0.31</v>
      </c>
      <c r="AL81" s="923">
        <v>0.28999999999999998</v>
      </c>
      <c r="AM81" s="751">
        <v>0.27</v>
      </c>
      <c r="AN81" s="924">
        <v>0.25</v>
      </c>
      <c r="AO81" s="260"/>
      <c r="AP81" s="260"/>
      <c r="AQ81" s="269" t="s">
        <v>2</v>
      </c>
      <c r="AR81" s="270">
        <v>111850438</v>
      </c>
      <c r="AS81" s="270">
        <v>59635518</v>
      </c>
      <c r="AT81" s="922">
        <v>0.56999999999999995</v>
      </c>
      <c r="AU81" s="322">
        <v>0.54</v>
      </c>
      <c r="AV81" s="384">
        <v>0.52</v>
      </c>
      <c r="AW81" s="360">
        <v>0.49</v>
      </c>
      <c r="AX81" s="414">
        <v>0.47</v>
      </c>
      <c r="AY81" s="418">
        <v>0.45</v>
      </c>
      <c r="AZ81" s="732">
        <v>0.42</v>
      </c>
      <c r="BA81" s="291">
        <v>0.4</v>
      </c>
      <c r="BB81" s="273">
        <v>0.38</v>
      </c>
      <c r="BC81" s="743">
        <v>0.36</v>
      </c>
      <c r="BD81" s="387">
        <v>0.34</v>
      </c>
      <c r="BE81" s="310">
        <v>0.32</v>
      </c>
      <c r="BF81" s="381">
        <v>0.3</v>
      </c>
      <c r="BG81" s="700">
        <v>0.28000000000000003</v>
      </c>
      <c r="BH81" s="672">
        <v>0.26</v>
      </c>
      <c r="BI81" s="915">
        <v>0.24199999999999999</v>
      </c>
      <c r="BJ81" s="260"/>
      <c r="BK81" s="260"/>
      <c r="BL81" s="269" t="s">
        <v>2</v>
      </c>
      <c r="BM81" s="270">
        <v>111850438</v>
      </c>
      <c r="BN81" s="270">
        <v>59635518</v>
      </c>
      <c r="BO81" s="922">
        <v>0.56999999999999995</v>
      </c>
      <c r="BP81" s="322">
        <v>0.54</v>
      </c>
      <c r="BQ81" s="681">
        <v>0.51</v>
      </c>
      <c r="BR81" s="375">
        <v>0.49</v>
      </c>
      <c r="BS81" s="417">
        <v>0.46</v>
      </c>
      <c r="BT81" s="309">
        <v>0.44</v>
      </c>
      <c r="BU81" s="272">
        <v>0.41</v>
      </c>
      <c r="BV81" s="653">
        <v>0.39</v>
      </c>
      <c r="BW81" s="430">
        <v>0.37</v>
      </c>
      <c r="BX81" s="675">
        <v>0.34</v>
      </c>
      <c r="BY81" s="452">
        <v>0.32</v>
      </c>
      <c r="BZ81" s="438">
        <v>0.3</v>
      </c>
      <c r="CA81" s="396">
        <v>0.28000000000000003</v>
      </c>
      <c r="CB81" s="925">
        <v>0.26</v>
      </c>
      <c r="CC81" s="678">
        <v>0.25</v>
      </c>
      <c r="CD81" s="917">
        <v>0.22800000000000001</v>
      </c>
    </row>
    <row r="82" spans="1:82" x14ac:dyDescent="0.2">
      <c r="A82" s="260"/>
      <c r="B82" s="269" t="s">
        <v>3</v>
      </c>
      <c r="C82" s="270">
        <v>477796928</v>
      </c>
      <c r="D82" s="270">
        <v>234399775</v>
      </c>
      <c r="E82" s="734">
        <v>0.45</v>
      </c>
      <c r="F82" s="757">
        <v>0.45</v>
      </c>
      <c r="G82" s="309">
        <v>0.44</v>
      </c>
      <c r="H82" s="385">
        <v>0.43</v>
      </c>
      <c r="I82" s="732">
        <v>0.43</v>
      </c>
      <c r="J82" s="343">
        <v>0.42</v>
      </c>
      <c r="K82" s="353">
        <v>0.41</v>
      </c>
      <c r="L82" s="291">
        <v>0.41</v>
      </c>
      <c r="M82" s="329">
        <v>0.4</v>
      </c>
      <c r="N82" s="376">
        <v>0.39</v>
      </c>
      <c r="O82" s="354">
        <v>0.38</v>
      </c>
      <c r="P82" s="430">
        <v>0.37</v>
      </c>
      <c r="Q82" s="745">
        <v>0.36</v>
      </c>
      <c r="R82" s="420">
        <v>0.36</v>
      </c>
      <c r="S82" s="355">
        <v>0.35</v>
      </c>
      <c r="T82" s="926">
        <v>0.33800000000000002</v>
      </c>
      <c r="U82" s="260"/>
      <c r="V82" s="269" t="s">
        <v>3</v>
      </c>
      <c r="W82" s="270">
        <v>477796928</v>
      </c>
      <c r="X82" s="270">
        <v>234399775</v>
      </c>
      <c r="Y82" s="315">
        <v>0.45</v>
      </c>
      <c r="Z82" s="364">
        <v>0.45</v>
      </c>
      <c r="AA82" s="301">
        <v>0.44</v>
      </c>
      <c r="AB82" s="385">
        <v>0.43</v>
      </c>
      <c r="AC82" s="732">
        <v>0.42</v>
      </c>
      <c r="AD82" s="272">
        <v>0.42</v>
      </c>
      <c r="AE82" s="353">
        <v>0.41</v>
      </c>
      <c r="AF82" s="738">
        <v>0.4</v>
      </c>
      <c r="AG82" s="653">
        <v>0.39</v>
      </c>
      <c r="AH82" s="380">
        <v>0.38</v>
      </c>
      <c r="AI82" s="317">
        <v>0.37</v>
      </c>
      <c r="AJ82" s="424">
        <v>0.36</v>
      </c>
      <c r="AK82" s="345">
        <v>0.36</v>
      </c>
      <c r="AL82" s="274">
        <v>0.35</v>
      </c>
      <c r="AM82" s="338">
        <v>0.34</v>
      </c>
      <c r="AN82" s="927">
        <v>0.32700000000000001</v>
      </c>
      <c r="AO82" s="260"/>
      <c r="AP82" s="260"/>
      <c r="AQ82" s="269" t="s">
        <v>3</v>
      </c>
      <c r="AR82" s="270">
        <v>477796928</v>
      </c>
      <c r="AS82" s="270">
        <v>234399775</v>
      </c>
      <c r="AT82" s="315">
        <v>0.45</v>
      </c>
      <c r="AU82" s="364">
        <v>0.45</v>
      </c>
      <c r="AV82" s="309">
        <v>0.44</v>
      </c>
      <c r="AW82" s="385">
        <v>0.43</v>
      </c>
      <c r="AX82" s="429">
        <v>0.42</v>
      </c>
      <c r="AY82" s="272">
        <v>0.41</v>
      </c>
      <c r="AZ82" s="386">
        <v>0.41</v>
      </c>
      <c r="BA82" s="324">
        <v>0.4</v>
      </c>
      <c r="BB82" s="347">
        <v>0.39</v>
      </c>
      <c r="BC82" s="273">
        <v>0.38</v>
      </c>
      <c r="BD82" s="292">
        <v>0.37</v>
      </c>
      <c r="BE82" s="428">
        <v>0.36</v>
      </c>
      <c r="BF82" s="420">
        <v>0.35</v>
      </c>
      <c r="BG82" s="355">
        <v>0.34</v>
      </c>
      <c r="BH82" s="403">
        <v>0.33</v>
      </c>
      <c r="BI82" s="928">
        <v>0.32300000000000001</v>
      </c>
      <c r="BJ82" s="260"/>
      <c r="BK82" s="260"/>
      <c r="BL82" s="269" t="s">
        <v>3</v>
      </c>
      <c r="BM82" s="270">
        <v>477796928</v>
      </c>
      <c r="BN82" s="270">
        <v>234399775</v>
      </c>
      <c r="BO82" s="352">
        <v>0.45</v>
      </c>
      <c r="BP82" s="364">
        <v>0.45</v>
      </c>
      <c r="BQ82" s="301">
        <v>0.44</v>
      </c>
      <c r="BR82" s="385">
        <v>0.43</v>
      </c>
      <c r="BS82" s="429">
        <v>0.42</v>
      </c>
      <c r="BT82" s="272">
        <v>0.41</v>
      </c>
      <c r="BU82" s="386">
        <v>0.4</v>
      </c>
      <c r="BV82" s="324">
        <v>0.39</v>
      </c>
      <c r="BW82" s="347">
        <v>0.38</v>
      </c>
      <c r="BX82" s="354">
        <v>0.37</v>
      </c>
      <c r="BY82" s="430">
        <v>0.37</v>
      </c>
      <c r="BZ82" s="745">
        <v>0.36</v>
      </c>
      <c r="CA82" s="303">
        <v>0.35</v>
      </c>
      <c r="CB82" s="929">
        <v>0.34</v>
      </c>
      <c r="CC82" s="446">
        <v>0.33</v>
      </c>
      <c r="CD82" s="930">
        <v>0.316</v>
      </c>
    </row>
    <row r="83" spans="1:82" x14ac:dyDescent="0.2">
      <c r="A83" s="260"/>
      <c r="B83" s="269" t="s">
        <v>4</v>
      </c>
      <c r="C83" s="270">
        <v>164227661</v>
      </c>
      <c r="D83" s="270">
        <v>96491379</v>
      </c>
      <c r="E83" s="357">
        <v>0.62</v>
      </c>
      <c r="F83" s="931">
        <v>0.6</v>
      </c>
      <c r="G83" s="668">
        <v>0.59</v>
      </c>
      <c r="H83" s="932">
        <v>0.56999999999999995</v>
      </c>
      <c r="I83" s="669">
        <v>0.55000000000000004</v>
      </c>
      <c r="J83" s="690">
        <v>0.54</v>
      </c>
      <c r="K83" s="384">
        <v>0.52</v>
      </c>
      <c r="L83" s="336">
        <v>0.5</v>
      </c>
      <c r="M83" s="410">
        <v>0.49</v>
      </c>
      <c r="N83" s="289">
        <v>0.47</v>
      </c>
      <c r="O83" s="411">
        <v>0.45</v>
      </c>
      <c r="P83" s="385">
        <v>0.43</v>
      </c>
      <c r="Q83" s="379">
        <v>0.42</v>
      </c>
      <c r="R83" s="324">
        <v>0.4</v>
      </c>
      <c r="S83" s="354">
        <v>0.38</v>
      </c>
      <c r="T83" s="933">
        <v>0.36399999999999999</v>
      </c>
      <c r="U83" s="260"/>
      <c r="V83" s="269" t="s">
        <v>4</v>
      </c>
      <c r="W83" s="270">
        <v>164227661</v>
      </c>
      <c r="X83" s="270">
        <v>96491379</v>
      </c>
      <c r="Y83" s="357">
        <v>0.62</v>
      </c>
      <c r="Z83" s="934">
        <v>0.6</v>
      </c>
      <c r="AA83" s="358">
        <v>0.57999999999999996</v>
      </c>
      <c r="AB83" s="692">
        <v>0.56000000000000005</v>
      </c>
      <c r="AC83" s="368">
        <v>0.54</v>
      </c>
      <c r="AD83" s="373">
        <v>0.52</v>
      </c>
      <c r="AE83" s="374">
        <v>0.5</v>
      </c>
      <c r="AF83" s="342">
        <v>0.49</v>
      </c>
      <c r="AG83" s="289">
        <v>0.47</v>
      </c>
      <c r="AH83" s="364">
        <v>0.45</v>
      </c>
      <c r="AI83" s="316">
        <v>0.43</v>
      </c>
      <c r="AJ83" s="302">
        <v>0.41</v>
      </c>
      <c r="AK83" s="653">
        <v>0.39</v>
      </c>
      <c r="AL83" s="317">
        <v>0.37</v>
      </c>
      <c r="AM83" s="345">
        <v>0.35</v>
      </c>
      <c r="AN83" s="935">
        <v>0.33600000000000002</v>
      </c>
      <c r="AO83" s="260"/>
      <c r="AP83" s="260"/>
      <c r="AQ83" s="269" t="s">
        <v>4</v>
      </c>
      <c r="AR83" s="270">
        <v>164227661</v>
      </c>
      <c r="AS83" s="270">
        <v>96491379</v>
      </c>
      <c r="AT83" s="357">
        <v>0.62</v>
      </c>
      <c r="AU83" s="934">
        <v>0.6</v>
      </c>
      <c r="AV83" s="936">
        <v>0.57999999999999996</v>
      </c>
      <c r="AW83" s="695">
        <v>0.56000000000000005</v>
      </c>
      <c r="AX83" s="359">
        <v>0.54</v>
      </c>
      <c r="AY83" s="341">
        <v>0.52</v>
      </c>
      <c r="AZ83" s="351">
        <v>0.5</v>
      </c>
      <c r="BA83" s="314">
        <v>0.48</v>
      </c>
      <c r="BB83" s="369">
        <v>0.46</v>
      </c>
      <c r="BC83" s="301">
        <v>0.44</v>
      </c>
      <c r="BD83" s="429">
        <v>0.42</v>
      </c>
      <c r="BE83" s="361">
        <v>0.4</v>
      </c>
      <c r="BF83" s="376">
        <v>0.38</v>
      </c>
      <c r="BG83" s="663">
        <v>0.37</v>
      </c>
      <c r="BH83" s="274">
        <v>0.35</v>
      </c>
      <c r="BI83" s="937">
        <v>0.32800000000000001</v>
      </c>
      <c r="BJ83" s="260"/>
      <c r="BK83" s="260"/>
      <c r="BL83" s="269" t="s">
        <v>4</v>
      </c>
      <c r="BM83" s="270">
        <v>164227661</v>
      </c>
      <c r="BN83" s="270">
        <v>96491379</v>
      </c>
      <c r="BO83" s="357">
        <v>0.62</v>
      </c>
      <c r="BP83" s="938">
        <v>0.6</v>
      </c>
      <c r="BQ83" s="939">
        <v>0.56999999999999995</v>
      </c>
      <c r="BR83" s="940">
        <v>0.55000000000000004</v>
      </c>
      <c r="BS83" s="383">
        <v>0.53</v>
      </c>
      <c r="BT83" s="681">
        <v>0.51</v>
      </c>
      <c r="BU83" s="300">
        <v>0.49</v>
      </c>
      <c r="BV83" s="739">
        <v>0.47</v>
      </c>
      <c r="BW83" s="734">
        <v>0.45</v>
      </c>
      <c r="BX83" s="385">
        <v>0.43</v>
      </c>
      <c r="BY83" s="337">
        <v>0.41</v>
      </c>
      <c r="BZ83" s="653">
        <v>0.39</v>
      </c>
      <c r="CA83" s="317">
        <v>0.37</v>
      </c>
      <c r="CB83" s="345">
        <v>0.35</v>
      </c>
      <c r="CC83" s="338">
        <v>0.33</v>
      </c>
      <c r="CD83" s="867">
        <v>0.314</v>
      </c>
    </row>
    <row r="84" spans="1:82" x14ac:dyDescent="0.2">
      <c r="A84" s="260"/>
      <c r="B84" s="269" t="s">
        <v>5</v>
      </c>
      <c r="C84" s="270">
        <v>407962628</v>
      </c>
      <c r="D84" s="270">
        <v>187745918</v>
      </c>
      <c r="E84" s="352">
        <v>0.46</v>
      </c>
      <c r="F84" s="271">
        <v>0.45</v>
      </c>
      <c r="G84" s="323">
        <v>0.45</v>
      </c>
      <c r="H84" s="450">
        <v>0.44</v>
      </c>
      <c r="I84" s="316">
        <v>0.43</v>
      </c>
      <c r="J84" s="671">
        <v>0.42</v>
      </c>
      <c r="K84" s="337">
        <v>0.42</v>
      </c>
      <c r="L84" s="386">
        <v>0.41</v>
      </c>
      <c r="M84" s="324">
        <v>0.4</v>
      </c>
      <c r="N84" s="347">
        <v>0.39</v>
      </c>
      <c r="O84" s="273">
        <v>0.38</v>
      </c>
      <c r="P84" s="292">
        <v>0.38</v>
      </c>
      <c r="Q84" s="428">
        <v>0.37</v>
      </c>
      <c r="R84" s="941">
        <v>0.36</v>
      </c>
      <c r="S84" s="355">
        <v>0.35</v>
      </c>
      <c r="T84" s="926">
        <v>0.33900000000000002</v>
      </c>
      <c r="U84" s="260"/>
      <c r="V84" s="269" t="s">
        <v>5</v>
      </c>
      <c r="W84" s="270">
        <v>407962628</v>
      </c>
      <c r="X84" s="270">
        <v>187745918</v>
      </c>
      <c r="Y84" s="742">
        <v>0.46</v>
      </c>
      <c r="Z84" s="734">
        <v>0.45</v>
      </c>
      <c r="AA84" s="757">
        <v>0.44</v>
      </c>
      <c r="AB84" s="450">
        <v>0.44</v>
      </c>
      <c r="AC84" s="316">
        <v>0.43</v>
      </c>
      <c r="AD84" s="429">
        <v>0.42</v>
      </c>
      <c r="AE84" s="337">
        <v>0.41</v>
      </c>
      <c r="AF84" s="361">
        <v>0.4</v>
      </c>
      <c r="AG84" s="324">
        <v>0.4</v>
      </c>
      <c r="AH84" s="347">
        <v>0.39</v>
      </c>
      <c r="AI84" s="354">
        <v>0.38</v>
      </c>
      <c r="AJ84" s="430">
        <v>0.37</v>
      </c>
      <c r="AK84" s="743">
        <v>0.36</v>
      </c>
      <c r="AL84" s="303">
        <v>0.35</v>
      </c>
      <c r="AM84" s="929">
        <v>0.34</v>
      </c>
      <c r="AN84" s="942">
        <v>0.33</v>
      </c>
      <c r="AO84" s="260"/>
      <c r="AP84" s="260"/>
      <c r="AQ84" s="269" t="s">
        <v>5</v>
      </c>
      <c r="AR84" s="270">
        <v>407962628</v>
      </c>
      <c r="AS84" s="270">
        <v>187745918</v>
      </c>
      <c r="AT84" s="742">
        <v>0.46</v>
      </c>
      <c r="AU84" s="734">
        <v>0.45</v>
      </c>
      <c r="AV84" s="323">
        <v>0.44</v>
      </c>
      <c r="AW84" s="450">
        <v>0.44</v>
      </c>
      <c r="AX84" s="316">
        <v>0.43</v>
      </c>
      <c r="AY84" s="671">
        <v>0.42</v>
      </c>
      <c r="AZ84" s="302">
        <v>0.41</v>
      </c>
      <c r="BA84" s="913">
        <v>0.4</v>
      </c>
      <c r="BB84" s="329">
        <v>0.39</v>
      </c>
      <c r="BC84" s="376">
        <v>0.38</v>
      </c>
      <c r="BD84" s="370">
        <v>0.38</v>
      </c>
      <c r="BE84" s="646">
        <v>0.37</v>
      </c>
      <c r="BF84" s="451">
        <v>0.36</v>
      </c>
      <c r="BG84" s="675">
        <v>0.35</v>
      </c>
      <c r="BH84" s="387">
        <v>0.34</v>
      </c>
      <c r="BI84" s="927">
        <v>0.32700000000000001</v>
      </c>
      <c r="BJ84" s="260"/>
      <c r="BK84" s="260"/>
      <c r="BL84" s="269" t="s">
        <v>5</v>
      </c>
      <c r="BM84" s="270">
        <v>407962628</v>
      </c>
      <c r="BN84" s="270">
        <v>187745918</v>
      </c>
      <c r="BO84" s="686">
        <v>0.46</v>
      </c>
      <c r="BP84" s="315">
        <v>0.45</v>
      </c>
      <c r="BQ84" s="757">
        <v>0.44</v>
      </c>
      <c r="BR84" s="309">
        <v>0.43</v>
      </c>
      <c r="BS84" s="316">
        <v>0.43</v>
      </c>
      <c r="BT84" s="671">
        <v>0.42</v>
      </c>
      <c r="BU84" s="337">
        <v>0.41</v>
      </c>
      <c r="BV84" s="361">
        <v>0.4</v>
      </c>
      <c r="BW84" s="329">
        <v>0.39</v>
      </c>
      <c r="BX84" s="376">
        <v>0.38</v>
      </c>
      <c r="BY84" s="370">
        <v>0.37</v>
      </c>
      <c r="BZ84" s="646">
        <v>0.36</v>
      </c>
      <c r="CA84" s="451">
        <v>0.35</v>
      </c>
      <c r="CB84" s="274">
        <v>0.34</v>
      </c>
      <c r="CC84" s="338">
        <v>0.33</v>
      </c>
      <c r="CD84" s="927">
        <v>0.32200000000000001</v>
      </c>
    </row>
    <row r="85" spans="1:82" x14ac:dyDescent="0.2">
      <c r="A85" s="260"/>
      <c r="B85" s="269" t="s">
        <v>6</v>
      </c>
      <c r="C85" s="270">
        <v>295355340</v>
      </c>
      <c r="D85" s="270">
        <v>30753929</v>
      </c>
      <c r="E85" s="288">
        <v>0.1</v>
      </c>
      <c r="F85" s="288">
        <v>0.1</v>
      </c>
      <c r="G85" s="288">
        <v>0.1</v>
      </c>
      <c r="H85" s="288">
        <v>0.1</v>
      </c>
      <c r="I85" s="288">
        <v>0.1</v>
      </c>
      <c r="J85" s="288">
        <v>0.1</v>
      </c>
      <c r="K85" s="288">
        <v>0.1</v>
      </c>
      <c r="L85" s="288">
        <v>0.1</v>
      </c>
      <c r="M85" s="422">
        <v>0.1</v>
      </c>
      <c r="N85" s="422">
        <v>0.1</v>
      </c>
      <c r="O85" s="279">
        <v>0.1</v>
      </c>
      <c r="P85" s="307">
        <v>0.09</v>
      </c>
      <c r="Q85" s="307">
        <v>0.09</v>
      </c>
      <c r="R85" s="333">
        <v>0.09</v>
      </c>
      <c r="S85" s="280">
        <v>0.09</v>
      </c>
      <c r="T85" s="320">
        <v>0.09</v>
      </c>
      <c r="U85" s="260"/>
      <c r="V85" s="269" t="s">
        <v>6</v>
      </c>
      <c r="W85" s="270">
        <v>295355340</v>
      </c>
      <c r="X85" s="270">
        <v>30753929</v>
      </c>
      <c r="Y85" s="280">
        <v>0.1</v>
      </c>
      <c r="Z85" s="333">
        <v>0.1</v>
      </c>
      <c r="AA85" s="422">
        <v>0.1</v>
      </c>
      <c r="AB85" s="312">
        <v>0.1</v>
      </c>
      <c r="AC85" s="296">
        <v>0.11</v>
      </c>
      <c r="AD85" s="328">
        <v>0.11</v>
      </c>
      <c r="AE85" s="395">
        <v>0.11</v>
      </c>
      <c r="AF85" s="327">
        <v>0.11</v>
      </c>
      <c r="AG85" s="332">
        <v>0.11</v>
      </c>
      <c r="AH85" s="431">
        <v>0.11</v>
      </c>
      <c r="AI85" s="431">
        <v>0.11</v>
      </c>
      <c r="AJ85" s="431">
        <v>0.11</v>
      </c>
      <c r="AK85" s="680">
        <v>0.11</v>
      </c>
      <c r="AL85" s="680">
        <v>0.11</v>
      </c>
      <c r="AM85" s="431">
        <v>0.11</v>
      </c>
      <c r="AN85" s="943">
        <v>0.113</v>
      </c>
      <c r="AO85" s="260"/>
      <c r="AP85" s="260"/>
      <c r="AQ85" s="269" t="s">
        <v>6</v>
      </c>
      <c r="AR85" s="270">
        <v>295355340</v>
      </c>
      <c r="AS85" s="270">
        <v>30753929</v>
      </c>
      <c r="AT85" s="280">
        <v>0.1</v>
      </c>
      <c r="AU85" s="307">
        <v>0.1</v>
      </c>
      <c r="AV85" s="288">
        <v>0.1</v>
      </c>
      <c r="AW85" s="296">
        <v>0.11</v>
      </c>
      <c r="AX85" s="395">
        <v>0.11</v>
      </c>
      <c r="AY85" s="702">
        <v>0.11</v>
      </c>
      <c r="AZ85" s="431">
        <v>0.11</v>
      </c>
      <c r="BA85" s="680">
        <v>0.11</v>
      </c>
      <c r="BB85" s="944">
        <v>0.12</v>
      </c>
      <c r="BC85" s="684">
        <v>0.12</v>
      </c>
      <c r="BD85" s="278">
        <v>0.12</v>
      </c>
      <c r="BE85" s="645">
        <v>0.12</v>
      </c>
      <c r="BF85" s="645">
        <v>0.12</v>
      </c>
      <c r="BG85" s="645">
        <v>0.12</v>
      </c>
      <c r="BH85" s="645">
        <v>0.12</v>
      </c>
      <c r="BI85" s="945">
        <v>0.11899999999999999</v>
      </c>
      <c r="BJ85" s="260"/>
      <c r="BK85" s="260"/>
      <c r="BL85" s="269" t="s">
        <v>6</v>
      </c>
      <c r="BM85" s="270">
        <v>295355340</v>
      </c>
      <c r="BN85" s="270">
        <v>30753929</v>
      </c>
      <c r="BO85" s="280">
        <v>0.1</v>
      </c>
      <c r="BP85" s="422">
        <v>0.1</v>
      </c>
      <c r="BQ85" s="296">
        <v>0.11</v>
      </c>
      <c r="BR85" s="327">
        <v>0.11</v>
      </c>
      <c r="BS85" s="680">
        <v>0.11</v>
      </c>
      <c r="BT85" s="684">
        <v>0.12</v>
      </c>
      <c r="BU85" s="287">
        <v>0.12</v>
      </c>
      <c r="BV85" s="946">
        <v>0.12</v>
      </c>
      <c r="BW85" s="409">
        <v>0.13</v>
      </c>
      <c r="BX85" s="408">
        <v>0.13</v>
      </c>
      <c r="BY85" s="319">
        <v>0.13</v>
      </c>
      <c r="BZ85" s="340">
        <v>0.13</v>
      </c>
      <c r="CA85" s="655">
        <v>0.13</v>
      </c>
      <c r="CB85" s="655">
        <v>0.13</v>
      </c>
      <c r="CC85" s="655">
        <v>0.13</v>
      </c>
      <c r="CD85" s="947">
        <v>0.13100000000000001</v>
      </c>
    </row>
    <row r="86" spans="1:82" x14ac:dyDescent="0.2">
      <c r="A86" s="260"/>
      <c r="B86" s="269" t="s">
        <v>7</v>
      </c>
      <c r="C86" s="270">
        <v>328852284</v>
      </c>
      <c r="D86" s="270">
        <v>133280716</v>
      </c>
      <c r="E86" s="426">
        <v>0.39</v>
      </c>
      <c r="F86" s="380">
        <v>0.39</v>
      </c>
      <c r="G86" s="370">
        <v>0.38</v>
      </c>
      <c r="H86" s="430">
        <v>0.37</v>
      </c>
      <c r="I86" s="428">
        <v>0.37</v>
      </c>
      <c r="J86" s="345">
        <v>0.36</v>
      </c>
      <c r="K86" s="675">
        <v>0.35</v>
      </c>
      <c r="L86" s="387">
        <v>0.34</v>
      </c>
      <c r="M86" s="446">
        <v>0.34</v>
      </c>
      <c r="N86" s="405">
        <v>0.33</v>
      </c>
      <c r="O86" s="284">
        <v>0.32</v>
      </c>
      <c r="P86" s="948">
        <v>0.31</v>
      </c>
      <c r="Q86" s="448">
        <v>0.3</v>
      </c>
      <c r="R86" s="325">
        <v>0.3</v>
      </c>
      <c r="S86" s="389">
        <v>0.28999999999999998</v>
      </c>
      <c r="T86" s="921">
        <v>0.27900000000000003</v>
      </c>
      <c r="U86" s="260"/>
      <c r="V86" s="269" t="s">
        <v>7</v>
      </c>
      <c r="W86" s="270">
        <v>328852284</v>
      </c>
      <c r="X86" s="270">
        <v>133280716</v>
      </c>
      <c r="Y86" s="329">
        <v>0.39</v>
      </c>
      <c r="Z86" s="376">
        <v>0.39</v>
      </c>
      <c r="AA86" s="354">
        <v>0.38</v>
      </c>
      <c r="AB86" s="292">
        <v>0.37</v>
      </c>
      <c r="AC86" s="424">
        <v>0.36</v>
      </c>
      <c r="AD86" s="345">
        <v>0.36</v>
      </c>
      <c r="AE86" s="675">
        <v>0.35</v>
      </c>
      <c r="AF86" s="929">
        <v>0.34</v>
      </c>
      <c r="AG86" s="446">
        <v>0.33</v>
      </c>
      <c r="AH86" s="405">
        <v>0.32</v>
      </c>
      <c r="AI86" s="284">
        <v>0.31</v>
      </c>
      <c r="AJ86" s="914">
        <v>0.31</v>
      </c>
      <c r="AK86" s="381">
        <v>0.3</v>
      </c>
      <c r="AL86" s="949">
        <v>0.28999999999999998</v>
      </c>
      <c r="AM86" s="397">
        <v>0.28000000000000003</v>
      </c>
      <c r="AN86" s="950">
        <v>0.27</v>
      </c>
      <c r="AO86" s="260"/>
      <c r="AP86" s="260"/>
      <c r="AQ86" s="269" t="s">
        <v>7</v>
      </c>
      <c r="AR86" s="270">
        <v>328852284</v>
      </c>
      <c r="AS86" s="270">
        <v>133280716</v>
      </c>
      <c r="AT86" s="653">
        <v>0.39</v>
      </c>
      <c r="AU86" s="376">
        <v>0.39</v>
      </c>
      <c r="AV86" s="354">
        <v>0.38</v>
      </c>
      <c r="AW86" s="292">
        <v>0.37</v>
      </c>
      <c r="AX86" s="428">
        <v>0.36</v>
      </c>
      <c r="AY86" s="345">
        <v>0.35</v>
      </c>
      <c r="AZ86" s="274">
        <v>0.35</v>
      </c>
      <c r="BA86" s="387">
        <v>0.34</v>
      </c>
      <c r="BB86" s="404">
        <v>0.33</v>
      </c>
      <c r="BC86" s="293">
        <v>0.32</v>
      </c>
      <c r="BD86" s="682">
        <v>0.31</v>
      </c>
      <c r="BE86" s="432">
        <v>0.3</v>
      </c>
      <c r="BF86" s="362">
        <v>0.3</v>
      </c>
      <c r="BG86" s="396">
        <v>0.28999999999999998</v>
      </c>
      <c r="BH86" s="951">
        <v>0.28000000000000003</v>
      </c>
      <c r="BI86" s="852">
        <v>0.26800000000000002</v>
      </c>
      <c r="BJ86" s="260"/>
      <c r="BK86" s="260"/>
      <c r="BL86" s="269" t="s">
        <v>7</v>
      </c>
      <c r="BM86" s="270">
        <v>328852284</v>
      </c>
      <c r="BN86" s="270">
        <v>133280716</v>
      </c>
      <c r="BO86" s="324">
        <v>0.39</v>
      </c>
      <c r="BP86" s="347">
        <v>0.38</v>
      </c>
      <c r="BQ86" s="273">
        <v>0.38</v>
      </c>
      <c r="BR86" s="317">
        <v>0.37</v>
      </c>
      <c r="BS86" s="424">
        <v>0.36</v>
      </c>
      <c r="BT86" s="345">
        <v>0.35</v>
      </c>
      <c r="BU86" s="675">
        <v>0.34</v>
      </c>
      <c r="BV86" s="387">
        <v>0.34</v>
      </c>
      <c r="BW86" s="446">
        <v>0.33</v>
      </c>
      <c r="BX86" s="293">
        <v>0.32</v>
      </c>
      <c r="BY86" s="682">
        <v>0.31</v>
      </c>
      <c r="BZ86" s="432">
        <v>0.3</v>
      </c>
      <c r="CA86" s="362">
        <v>0.28999999999999998</v>
      </c>
      <c r="CB86" s="389">
        <v>0.28000000000000003</v>
      </c>
      <c r="CC86" s="390">
        <v>0.27</v>
      </c>
      <c r="CD86" s="952">
        <v>0.26300000000000001</v>
      </c>
    </row>
    <row r="87" spans="1:82" x14ac:dyDescent="0.2">
      <c r="A87" s="260"/>
      <c r="B87" s="269" t="s">
        <v>8</v>
      </c>
      <c r="C87" s="270">
        <v>910487339</v>
      </c>
      <c r="D87" s="270">
        <v>321724914</v>
      </c>
      <c r="E87" s="273">
        <v>0.38</v>
      </c>
      <c r="F87" s="370">
        <v>0.38</v>
      </c>
      <c r="G87" s="292">
        <v>0.38</v>
      </c>
      <c r="H87" s="430">
        <v>0.37</v>
      </c>
      <c r="I87" s="424">
        <v>0.37</v>
      </c>
      <c r="J87" s="745">
        <v>0.36</v>
      </c>
      <c r="K87" s="345">
        <v>0.36</v>
      </c>
      <c r="L87" s="303">
        <v>0.36</v>
      </c>
      <c r="M87" s="274">
        <v>0.35</v>
      </c>
      <c r="N87" s="445">
        <v>0.35</v>
      </c>
      <c r="O87" s="338">
        <v>0.34</v>
      </c>
      <c r="P87" s="446">
        <v>0.34</v>
      </c>
      <c r="Q87" s="405">
        <v>0.33</v>
      </c>
      <c r="R87" s="304">
        <v>0.33</v>
      </c>
      <c r="S87" s="275">
        <v>0.32</v>
      </c>
      <c r="T87" s="953">
        <v>0.314</v>
      </c>
      <c r="U87" s="260"/>
      <c r="V87" s="269" t="s">
        <v>8</v>
      </c>
      <c r="W87" s="270">
        <v>910487339</v>
      </c>
      <c r="X87" s="270">
        <v>321724914</v>
      </c>
      <c r="Y87" s="376">
        <v>0.38</v>
      </c>
      <c r="Z87" s="273">
        <v>0.38</v>
      </c>
      <c r="AA87" s="354">
        <v>0.38</v>
      </c>
      <c r="AB87" s="317">
        <v>0.37</v>
      </c>
      <c r="AC87" s="292">
        <v>0.37</v>
      </c>
      <c r="AD87" s="646">
        <v>0.37</v>
      </c>
      <c r="AE87" s="428">
        <v>0.36</v>
      </c>
      <c r="AF87" s="451">
        <v>0.36</v>
      </c>
      <c r="AG87" s="941">
        <v>0.35</v>
      </c>
      <c r="AH87" s="675">
        <v>0.35</v>
      </c>
      <c r="AI87" s="355">
        <v>0.34</v>
      </c>
      <c r="AJ87" s="387">
        <v>0.34</v>
      </c>
      <c r="AK87" s="403">
        <v>0.33</v>
      </c>
      <c r="AL87" s="447">
        <v>0.33</v>
      </c>
      <c r="AM87" s="293">
        <v>0.32</v>
      </c>
      <c r="AN87" s="867">
        <v>0.317</v>
      </c>
      <c r="AO87" s="260"/>
      <c r="AP87" s="260"/>
      <c r="AQ87" s="269" t="s">
        <v>8</v>
      </c>
      <c r="AR87" s="270">
        <v>910487339</v>
      </c>
      <c r="AS87" s="270">
        <v>321724914</v>
      </c>
      <c r="AT87" s="380">
        <v>0.38</v>
      </c>
      <c r="AU87" s="273">
        <v>0.38</v>
      </c>
      <c r="AV87" s="354">
        <v>0.38</v>
      </c>
      <c r="AW87" s="317">
        <v>0.37</v>
      </c>
      <c r="AX87" s="292">
        <v>0.37</v>
      </c>
      <c r="AY87" s="646">
        <v>0.37</v>
      </c>
      <c r="AZ87" s="428">
        <v>0.36</v>
      </c>
      <c r="BA87" s="451">
        <v>0.36</v>
      </c>
      <c r="BB87" s="345">
        <v>0.35</v>
      </c>
      <c r="BC87" s="303">
        <v>0.35</v>
      </c>
      <c r="BD87" s="274">
        <v>0.34</v>
      </c>
      <c r="BE87" s="387">
        <v>0.34</v>
      </c>
      <c r="BF87" s="403">
        <v>0.33</v>
      </c>
      <c r="BG87" s="404">
        <v>0.33</v>
      </c>
      <c r="BH87" s="293">
        <v>0.32</v>
      </c>
      <c r="BI87" s="867">
        <v>0.317</v>
      </c>
      <c r="BJ87" s="260"/>
      <c r="BK87" s="260"/>
      <c r="BL87" s="269" t="s">
        <v>8</v>
      </c>
      <c r="BM87" s="270">
        <v>910487339</v>
      </c>
      <c r="BN87" s="270">
        <v>321724914</v>
      </c>
      <c r="BO87" s="347">
        <v>0.38</v>
      </c>
      <c r="BP87" s="376">
        <v>0.38</v>
      </c>
      <c r="BQ87" s="273">
        <v>0.38</v>
      </c>
      <c r="BR87" s="354">
        <v>0.37</v>
      </c>
      <c r="BS87" s="370">
        <v>0.37</v>
      </c>
      <c r="BT87" s="292">
        <v>0.37</v>
      </c>
      <c r="BU87" s="646">
        <v>0.36</v>
      </c>
      <c r="BV87" s="424">
        <v>0.36</v>
      </c>
      <c r="BW87" s="743">
        <v>0.36</v>
      </c>
      <c r="BX87" s="345">
        <v>0.35</v>
      </c>
      <c r="BY87" s="303">
        <v>0.35</v>
      </c>
      <c r="BZ87" s="274">
        <v>0.34</v>
      </c>
      <c r="CA87" s="929">
        <v>0.34</v>
      </c>
      <c r="CB87" s="403">
        <v>0.33</v>
      </c>
      <c r="CC87" s="404">
        <v>0.32</v>
      </c>
      <c r="CD87" s="928">
        <v>0.31900000000000001</v>
      </c>
    </row>
    <row r="88" spans="1:82" x14ac:dyDescent="0.2">
      <c r="A88" s="260"/>
      <c r="B88" s="269" t="s">
        <v>9</v>
      </c>
      <c r="C88" s="270">
        <v>92705417</v>
      </c>
      <c r="D88" s="270">
        <v>27802728</v>
      </c>
      <c r="E88" s="448">
        <v>0.3</v>
      </c>
      <c r="F88" s="949">
        <v>0.28999999999999998</v>
      </c>
      <c r="G88" s="406">
        <v>0.28000000000000003</v>
      </c>
      <c r="H88" s="391">
        <v>0.27</v>
      </c>
      <c r="I88" s="434">
        <v>0.26</v>
      </c>
      <c r="J88" s="400">
        <v>0.25</v>
      </c>
      <c r="K88" s="709">
        <v>0.24</v>
      </c>
      <c r="L88" s="954">
        <v>0.22</v>
      </c>
      <c r="M88" s="955">
        <v>0.21</v>
      </c>
      <c r="N88" s="733">
        <v>0.2</v>
      </c>
      <c r="O88" s="712">
        <v>0.19</v>
      </c>
      <c r="P88" s="326">
        <v>0.18</v>
      </c>
      <c r="Q88" s="729">
        <v>0.17</v>
      </c>
      <c r="R88" s="453">
        <v>0.16</v>
      </c>
      <c r="S88" s="295">
        <v>0.15</v>
      </c>
      <c r="T88" s="956">
        <v>0.13800000000000001</v>
      </c>
      <c r="U88" s="260"/>
      <c r="V88" s="269" t="s">
        <v>9</v>
      </c>
      <c r="W88" s="270">
        <v>92705417</v>
      </c>
      <c r="X88" s="270">
        <v>27802728</v>
      </c>
      <c r="Y88" s="432">
        <v>0.3</v>
      </c>
      <c r="Z88" s="366">
        <v>0.28999999999999998</v>
      </c>
      <c r="AA88" s="406">
        <v>0.28000000000000003</v>
      </c>
      <c r="AB88" s="750">
        <v>0.27</v>
      </c>
      <c r="AC88" s="719">
        <v>0.25</v>
      </c>
      <c r="AD88" s="435">
        <v>0.24</v>
      </c>
      <c r="AE88" s="276">
        <v>0.23</v>
      </c>
      <c r="AF88" s="895">
        <v>0.22</v>
      </c>
      <c r="AG88" s="896">
        <v>0.2</v>
      </c>
      <c r="AH88" s="723">
        <v>0.19</v>
      </c>
      <c r="AI88" s="326">
        <v>0.18</v>
      </c>
      <c r="AJ88" s="713">
        <v>0.17</v>
      </c>
      <c r="AK88" s="714">
        <v>0.16</v>
      </c>
      <c r="AL88" s="421">
        <v>0.15</v>
      </c>
      <c r="AM88" s="725">
        <v>0.14000000000000001</v>
      </c>
      <c r="AN88" s="957">
        <v>0.129</v>
      </c>
      <c r="AO88" s="260"/>
      <c r="AP88" s="260"/>
      <c r="AQ88" s="269" t="s">
        <v>9</v>
      </c>
      <c r="AR88" s="270">
        <v>92705417</v>
      </c>
      <c r="AS88" s="270">
        <v>27802728</v>
      </c>
      <c r="AT88" s="432">
        <v>0.3</v>
      </c>
      <c r="AU88" s="330">
        <v>0.28999999999999998</v>
      </c>
      <c r="AV88" s="390">
        <v>0.28000000000000003</v>
      </c>
      <c r="AW88" s="752">
        <v>0.26</v>
      </c>
      <c r="AX88" s="720">
        <v>0.25</v>
      </c>
      <c r="AY88" s="958">
        <v>0.24</v>
      </c>
      <c r="AZ88" s="311">
        <v>0.23</v>
      </c>
      <c r="BA88" s="955">
        <v>0.21</v>
      </c>
      <c r="BB88" s="711">
        <v>0.2</v>
      </c>
      <c r="BC88" s="679">
        <v>0.19</v>
      </c>
      <c r="BD88" s="724">
        <v>0.18</v>
      </c>
      <c r="BE88" s="708">
        <v>0.17</v>
      </c>
      <c r="BF88" s="378">
        <v>0.16</v>
      </c>
      <c r="BG88" s="674">
        <v>0.15</v>
      </c>
      <c r="BH88" s="659">
        <v>0.14000000000000001</v>
      </c>
      <c r="BI88" s="959">
        <v>0.127</v>
      </c>
      <c r="BJ88" s="260"/>
      <c r="BK88" s="260"/>
      <c r="BL88" s="269" t="s">
        <v>9</v>
      </c>
      <c r="BM88" s="270">
        <v>92705417</v>
      </c>
      <c r="BN88" s="270">
        <v>27802728</v>
      </c>
      <c r="BO88" s="948">
        <v>0.3</v>
      </c>
      <c r="BP88" s="325">
        <v>0.28999999999999998</v>
      </c>
      <c r="BQ88" s="700">
        <v>0.27</v>
      </c>
      <c r="BR88" s="752">
        <v>0.26</v>
      </c>
      <c r="BS88" s="676">
        <v>0.25</v>
      </c>
      <c r="BT88" s="412">
        <v>0.23</v>
      </c>
      <c r="BU88" s="442">
        <v>0.22</v>
      </c>
      <c r="BV88" s="407">
        <v>0.21</v>
      </c>
      <c r="BW88" s="673">
        <v>0.2</v>
      </c>
      <c r="BX88" s="648">
        <v>0.18</v>
      </c>
      <c r="BY88" s="667">
        <v>0.17</v>
      </c>
      <c r="BZ88" s="286">
        <v>0.16</v>
      </c>
      <c r="CA88" s="295">
        <v>0.15</v>
      </c>
      <c r="CB88" s="741">
        <v>0.14000000000000001</v>
      </c>
      <c r="CC88" s="458">
        <v>0.13</v>
      </c>
      <c r="CD88" s="960">
        <v>0.122</v>
      </c>
    </row>
    <row r="89" spans="1:82" x14ac:dyDescent="0.2">
      <c r="A89" s="260"/>
      <c r="B89" s="269" t="s">
        <v>10</v>
      </c>
      <c r="C89" s="270">
        <v>1243404656</v>
      </c>
      <c r="D89" s="270">
        <v>110876434</v>
      </c>
      <c r="E89" s="431">
        <v>0.11</v>
      </c>
      <c r="F89" s="431">
        <v>0.11</v>
      </c>
      <c r="G89" s="332">
        <v>0.11</v>
      </c>
      <c r="H89" s="332">
        <v>0.11</v>
      </c>
      <c r="I89" s="332">
        <v>0.11</v>
      </c>
      <c r="J89" s="332">
        <v>0.11</v>
      </c>
      <c r="K89" s="702">
        <v>0.11</v>
      </c>
      <c r="L89" s="327">
        <v>0.11</v>
      </c>
      <c r="M89" s="327">
        <v>0.1</v>
      </c>
      <c r="N89" s="327">
        <v>0.1</v>
      </c>
      <c r="O89" s="395">
        <v>0.1</v>
      </c>
      <c r="P89" s="395">
        <v>0.1</v>
      </c>
      <c r="Q89" s="328">
        <v>0.1</v>
      </c>
      <c r="R89" s="328">
        <v>0.1</v>
      </c>
      <c r="S89" s="296">
        <v>0.1</v>
      </c>
      <c r="T89" s="694">
        <v>0.1</v>
      </c>
      <c r="U89" s="260"/>
      <c r="V89" s="269" t="s">
        <v>10</v>
      </c>
      <c r="W89" s="270">
        <v>1243404656</v>
      </c>
      <c r="X89" s="270">
        <v>110876434</v>
      </c>
      <c r="Y89" s="328">
        <v>0.11</v>
      </c>
      <c r="Z89" s="395">
        <v>0.11</v>
      </c>
      <c r="AA89" s="395">
        <v>0.11</v>
      </c>
      <c r="AB89" s="327">
        <v>0.11</v>
      </c>
      <c r="AC89" s="702">
        <v>0.11</v>
      </c>
      <c r="AD89" s="332">
        <v>0.11</v>
      </c>
      <c r="AE89" s="431">
        <v>0.11</v>
      </c>
      <c r="AF89" s="431">
        <v>0.11</v>
      </c>
      <c r="AG89" s="431">
        <v>0.11</v>
      </c>
      <c r="AH89" s="431">
        <v>0.11</v>
      </c>
      <c r="AI89" s="431">
        <v>0.11</v>
      </c>
      <c r="AJ89" s="680">
        <v>0.11</v>
      </c>
      <c r="AK89" s="431">
        <v>0.11</v>
      </c>
      <c r="AL89" s="431">
        <v>0.11</v>
      </c>
      <c r="AM89" s="431">
        <v>0.11</v>
      </c>
      <c r="AN89" s="943">
        <v>0.112</v>
      </c>
      <c r="AO89" s="260"/>
      <c r="AP89" s="260"/>
      <c r="AQ89" s="269" t="s">
        <v>10</v>
      </c>
      <c r="AR89" s="270">
        <v>1243404656</v>
      </c>
      <c r="AS89" s="270">
        <v>110876434</v>
      </c>
      <c r="AT89" s="328">
        <v>0.11</v>
      </c>
      <c r="AU89" s="395">
        <v>0.11</v>
      </c>
      <c r="AV89" s="327">
        <v>0.11</v>
      </c>
      <c r="AW89" s="702">
        <v>0.11</v>
      </c>
      <c r="AX89" s="431">
        <v>0.11</v>
      </c>
      <c r="AY89" s="431">
        <v>0.11</v>
      </c>
      <c r="AZ89" s="680">
        <v>0.11</v>
      </c>
      <c r="BA89" s="297">
        <v>0.11</v>
      </c>
      <c r="BB89" s="297">
        <v>0.12</v>
      </c>
      <c r="BC89" s="297">
        <v>0.12</v>
      </c>
      <c r="BD89" s="684">
        <v>0.12</v>
      </c>
      <c r="BE89" s="684">
        <v>0.12</v>
      </c>
      <c r="BF89" s="684">
        <v>0.12</v>
      </c>
      <c r="BG89" s="684">
        <v>0.12</v>
      </c>
      <c r="BH89" s="684">
        <v>0.12</v>
      </c>
      <c r="BI89" s="961">
        <v>0.11600000000000001</v>
      </c>
      <c r="BJ89" s="260"/>
      <c r="BK89" s="260"/>
      <c r="BL89" s="269" t="s">
        <v>10</v>
      </c>
      <c r="BM89" s="270">
        <v>1243404656</v>
      </c>
      <c r="BN89" s="270">
        <v>110876434</v>
      </c>
      <c r="BO89" s="328">
        <v>0.11</v>
      </c>
      <c r="BP89" s="327">
        <v>0.11</v>
      </c>
      <c r="BQ89" s="332">
        <v>0.11</v>
      </c>
      <c r="BR89" s="680">
        <v>0.11</v>
      </c>
      <c r="BS89" s="297">
        <v>0.11</v>
      </c>
      <c r="BT89" s="684">
        <v>0.12</v>
      </c>
      <c r="BU89" s="278">
        <v>0.12</v>
      </c>
      <c r="BV89" s="645">
        <v>0.12</v>
      </c>
      <c r="BW89" s="962">
        <v>0.12</v>
      </c>
      <c r="BX89" s="730">
        <v>0.12</v>
      </c>
      <c r="BY89" s="730">
        <v>0.12</v>
      </c>
      <c r="BZ89" s="946">
        <v>0.12</v>
      </c>
      <c r="CA89" s="946">
        <v>0.12</v>
      </c>
      <c r="CB89" s="946">
        <v>0.12</v>
      </c>
      <c r="CC89" s="946">
        <v>0.12</v>
      </c>
      <c r="CD89" s="963">
        <v>0.123</v>
      </c>
    </row>
    <row r="90" spans="1:82" x14ac:dyDescent="0.2">
      <c r="A90" s="260"/>
      <c r="B90" s="269" t="s">
        <v>11</v>
      </c>
      <c r="C90" s="270">
        <v>195405555</v>
      </c>
      <c r="D90" s="270">
        <v>75892247</v>
      </c>
      <c r="E90" s="347">
        <v>0.39</v>
      </c>
      <c r="F90" s="354">
        <v>0.38</v>
      </c>
      <c r="G90" s="430">
        <v>0.37</v>
      </c>
      <c r="H90" s="745">
        <v>0.36</v>
      </c>
      <c r="I90" s="303">
        <v>0.36</v>
      </c>
      <c r="J90" s="445">
        <v>0.35</v>
      </c>
      <c r="K90" s="446">
        <v>0.34</v>
      </c>
      <c r="L90" s="293">
        <v>0.33</v>
      </c>
      <c r="M90" s="682">
        <v>0.32</v>
      </c>
      <c r="N90" s="432">
        <v>0.31</v>
      </c>
      <c r="O90" s="362">
        <v>0.3</v>
      </c>
      <c r="P90" s="389">
        <v>0.28999999999999998</v>
      </c>
      <c r="Q90" s="390">
        <v>0.28000000000000003</v>
      </c>
      <c r="R90" s="391">
        <v>0.27</v>
      </c>
      <c r="S90" s="434">
        <v>0.26</v>
      </c>
      <c r="T90" s="964">
        <v>0.248</v>
      </c>
      <c r="U90" s="260"/>
      <c r="V90" s="269" t="s">
        <v>11</v>
      </c>
      <c r="W90" s="270">
        <v>195405555</v>
      </c>
      <c r="X90" s="270">
        <v>75892247</v>
      </c>
      <c r="Y90" s="426">
        <v>0.39</v>
      </c>
      <c r="Z90" s="273">
        <v>0.38</v>
      </c>
      <c r="AA90" s="292">
        <v>0.37</v>
      </c>
      <c r="AB90" s="428">
        <v>0.36</v>
      </c>
      <c r="AC90" s="420">
        <v>0.35</v>
      </c>
      <c r="AD90" s="355">
        <v>0.34</v>
      </c>
      <c r="AE90" s="446">
        <v>0.33</v>
      </c>
      <c r="AF90" s="293">
        <v>0.32</v>
      </c>
      <c r="AG90" s="682">
        <v>0.31</v>
      </c>
      <c r="AH90" s="916">
        <v>0.3</v>
      </c>
      <c r="AI90" s="366">
        <v>0.28999999999999998</v>
      </c>
      <c r="AJ90" s="433">
        <v>0.28000000000000003</v>
      </c>
      <c r="AK90" s="398">
        <v>0.27</v>
      </c>
      <c r="AL90" s="672">
        <v>0.26</v>
      </c>
      <c r="AM90" s="676">
        <v>0.25</v>
      </c>
      <c r="AN90" s="965">
        <v>0.23899999999999999</v>
      </c>
      <c r="AO90" s="260"/>
      <c r="AP90" s="260"/>
      <c r="AQ90" s="269" t="s">
        <v>11</v>
      </c>
      <c r="AR90" s="270">
        <v>195405555</v>
      </c>
      <c r="AS90" s="270">
        <v>75892247</v>
      </c>
      <c r="AT90" s="426">
        <v>0.39</v>
      </c>
      <c r="AU90" s="273">
        <v>0.38</v>
      </c>
      <c r="AV90" s="292">
        <v>0.37</v>
      </c>
      <c r="AW90" s="428">
        <v>0.36</v>
      </c>
      <c r="AX90" s="303">
        <v>0.35</v>
      </c>
      <c r="AY90" s="445">
        <v>0.34</v>
      </c>
      <c r="AZ90" s="446">
        <v>0.33</v>
      </c>
      <c r="BA90" s="304">
        <v>0.32</v>
      </c>
      <c r="BB90" s="909">
        <v>0.31</v>
      </c>
      <c r="BC90" s="448">
        <v>0.3</v>
      </c>
      <c r="BD90" s="949">
        <v>0.28999999999999998</v>
      </c>
      <c r="BE90" s="700">
        <v>0.28000000000000003</v>
      </c>
      <c r="BF90" s="754">
        <v>0.27</v>
      </c>
      <c r="BG90" s="726">
        <v>0.26</v>
      </c>
      <c r="BH90" s="746">
        <v>0.25</v>
      </c>
      <c r="BI90" s="966">
        <v>0.23599999999999999</v>
      </c>
      <c r="BJ90" s="260"/>
      <c r="BK90" s="260"/>
      <c r="BL90" s="269" t="s">
        <v>11</v>
      </c>
      <c r="BM90" s="270">
        <v>195405555</v>
      </c>
      <c r="BN90" s="270">
        <v>75892247</v>
      </c>
      <c r="BO90" s="329">
        <v>0.39</v>
      </c>
      <c r="BP90" s="380">
        <v>0.38</v>
      </c>
      <c r="BQ90" s="317">
        <v>0.37</v>
      </c>
      <c r="BR90" s="428">
        <v>0.36</v>
      </c>
      <c r="BS90" s="420">
        <v>0.35</v>
      </c>
      <c r="BT90" s="355">
        <v>0.34</v>
      </c>
      <c r="BU90" s="446">
        <v>0.33</v>
      </c>
      <c r="BV90" s="304">
        <v>0.32</v>
      </c>
      <c r="BW90" s="909">
        <v>0.31</v>
      </c>
      <c r="BX90" s="377">
        <v>0.3</v>
      </c>
      <c r="BY90" s="949">
        <v>0.28000000000000003</v>
      </c>
      <c r="BZ90" s="406">
        <v>0.27</v>
      </c>
      <c r="CA90" s="391">
        <v>0.26</v>
      </c>
      <c r="CB90" s="727">
        <v>0.25</v>
      </c>
      <c r="CC90" s="703">
        <v>0.24</v>
      </c>
      <c r="CD90" s="967">
        <v>0.23100000000000001</v>
      </c>
    </row>
    <row r="91" spans="1:82" x14ac:dyDescent="0.2">
      <c r="A91" s="260"/>
      <c r="B91" s="459" t="s">
        <v>14</v>
      </c>
      <c r="C91" s="460">
        <v>4467075685</v>
      </c>
      <c r="D91" s="460">
        <v>1365370426</v>
      </c>
      <c r="E91" s="968">
        <v>0.32</v>
      </c>
      <c r="F91" s="969">
        <v>0.31</v>
      </c>
      <c r="G91" s="970">
        <v>0.31</v>
      </c>
      <c r="H91" s="971">
        <v>0.3</v>
      </c>
      <c r="I91" s="972">
        <v>0.3</v>
      </c>
      <c r="J91" s="973">
        <v>0.28999999999999998</v>
      </c>
      <c r="K91" s="765">
        <v>0.28000000000000003</v>
      </c>
      <c r="L91" s="974">
        <v>0.28000000000000003</v>
      </c>
      <c r="M91" s="975">
        <v>0.27</v>
      </c>
      <c r="N91" s="976">
        <v>0.27</v>
      </c>
      <c r="O91" s="798">
        <v>0.26</v>
      </c>
      <c r="P91" s="787">
        <v>0.26</v>
      </c>
      <c r="Q91" s="977">
        <v>0.25</v>
      </c>
      <c r="R91" s="469">
        <v>0.24</v>
      </c>
      <c r="S91" s="978">
        <v>0.24</v>
      </c>
      <c r="T91" s="979">
        <v>0.23100000000000001</v>
      </c>
      <c r="U91" s="260"/>
      <c r="V91" s="459" t="s">
        <v>14</v>
      </c>
      <c r="W91" s="460">
        <v>4467075685</v>
      </c>
      <c r="X91" s="460">
        <v>1365370426</v>
      </c>
      <c r="Y91" s="980">
        <v>0.32</v>
      </c>
      <c r="Z91" s="981">
        <v>0.31</v>
      </c>
      <c r="AA91" s="969">
        <v>0.31</v>
      </c>
      <c r="AB91" s="982">
        <v>0.3</v>
      </c>
      <c r="AC91" s="971">
        <v>0.3</v>
      </c>
      <c r="AD91" s="777">
        <v>0.28999999999999998</v>
      </c>
      <c r="AE91" s="983">
        <v>0.28000000000000003</v>
      </c>
      <c r="AF91" s="984">
        <v>0.28000000000000003</v>
      </c>
      <c r="AG91" s="985">
        <v>0.27</v>
      </c>
      <c r="AH91" s="986">
        <v>0.27</v>
      </c>
      <c r="AI91" s="987">
        <v>0.26</v>
      </c>
      <c r="AJ91" s="988">
        <v>0.26</v>
      </c>
      <c r="AK91" s="989">
        <v>0.25</v>
      </c>
      <c r="AL91" s="477">
        <v>0.24</v>
      </c>
      <c r="AM91" s="990">
        <v>0.24</v>
      </c>
      <c r="AN91" s="991">
        <v>0.23100000000000001</v>
      </c>
      <c r="AO91" s="260"/>
      <c r="AP91" s="260"/>
      <c r="AQ91" s="459" t="s">
        <v>14</v>
      </c>
      <c r="AR91" s="460">
        <v>4467075685</v>
      </c>
      <c r="AS91" s="460">
        <v>1365370426</v>
      </c>
      <c r="AT91" s="980">
        <v>0.32</v>
      </c>
      <c r="AU91" s="968">
        <v>0.31</v>
      </c>
      <c r="AV91" s="969">
        <v>0.31</v>
      </c>
      <c r="AW91" s="982">
        <v>0.3</v>
      </c>
      <c r="AX91" s="971">
        <v>0.3</v>
      </c>
      <c r="AY91" s="777">
        <v>0.28999999999999998</v>
      </c>
      <c r="AZ91" s="983">
        <v>0.28000000000000003</v>
      </c>
      <c r="BA91" s="984">
        <v>0.28000000000000003</v>
      </c>
      <c r="BB91" s="985">
        <v>0.27</v>
      </c>
      <c r="BC91" s="986">
        <v>0.27</v>
      </c>
      <c r="BD91" s="987">
        <v>0.26</v>
      </c>
      <c r="BE91" s="988">
        <v>0.26</v>
      </c>
      <c r="BF91" s="778">
        <v>0.25</v>
      </c>
      <c r="BG91" s="477">
        <v>0.24</v>
      </c>
      <c r="BH91" s="990">
        <v>0.24</v>
      </c>
      <c r="BI91" s="991">
        <v>0.23100000000000001</v>
      </c>
      <c r="BJ91" s="260"/>
      <c r="BK91" s="260"/>
      <c r="BL91" s="459" t="s">
        <v>14</v>
      </c>
      <c r="BM91" s="460">
        <v>4467075685</v>
      </c>
      <c r="BN91" s="460">
        <v>1365370426</v>
      </c>
      <c r="BO91" s="992">
        <v>0.32</v>
      </c>
      <c r="BP91" s="993">
        <v>0.31</v>
      </c>
      <c r="BQ91" s="968">
        <v>0.31</v>
      </c>
      <c r="BR91" s="994">
        <v>0.3</v>
      </c>
      <c r="BS91" s="995">
        <v>0.3</v>
      </c>
      <c r="BT91" s="786">
        <v>0.28999999999999998</v>
      </c>
      <c r="BU91" s="996">
        <v>0.28000000000000003</v>
      </c>
      <c r="BV91" s="997">
        <v>0.28000000000000003</v>
      </c>
      <c r="BW91" s="998">
        <v>0.27</v>
      </c>
      <c r="BX91" s="975">
        <v>0.27</v>
      </c>
      <c r="BY91" s="976">
        <v>0.26</v>
      </c>
      <c r="BZ91" s="798">
        <v>0.26</v>
      </c>
      <c r="CA91" s="787">
        <v>0.25</v>
      </c>
      <c r="CB91" s="999">
        <v>0.24</v>
      </c>
      <c r="CC91" s="1000">
        <v>0.24</v>
      </c>
      <c r="CD91" s="1001">
        <v>0.23100000000000001</v>
      </c>
    </row>
    <row r="92" spans="1:82" x14ac:dyDescent="0.2">
      <c r="A92" s="260"/>
      <c r="B92" s="260"/>
      <c r="C92" s="260"/>
      <c r="D92" s="260"/>
      <c r="E92" s="260"/>
      <c r="F92" s="260"/>
      <c r="G92" s="260"/>
      <c r="H92" s="260"/>
      <c r="I92" s="260"/>
      <c r="J92" s="283"/>
      <c r="K92" s="260"/>
      <c r="L92" s="260"/>
      <c r="M92" s="260"/>
      <c r="N92" s="260"/>
      <c r="O92" s="283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83"/>
      <c r="AE92" s="260"/>
      <c r="AF92" s="260"/>
      <c r="AG92" s="260"/>
      <c r="AH92" s="260"/>
      <c r="AI92" s="283"/>
      <c r="AJ92" s="260"/>
      <c r="AK92" s="260"/>
      <c r="AL92" s="260"/>
      <c r="AM92" s="260"/>
      <c r="AN92" s="260"/>
      <c r="AO92" s="260"/>
      <c r="AP92" s="260"/>
      <c r="AQ92" s="260"/>
      <c r="AR92" s="260"/>
      <c r="AS92" s="260"/>
      <c r="AT92" s="260"/>
      <c r="AU92" s="260"/>
      <c r="AV92" s="260"/>
      <c r="AW92" s="260"/>
      <c r="AX92" s="260"/>
      <c r="AY92" s="283"/>
      <c r="AZ92" s="260"/>
      <c r="BA92" s="260"/>
      <c r="BB92" s="260"/>
      <c r="BC92" s="260"/>
      <c r="BD92" s="283"/>
      <c r="BE92" s="260"/>
      <c r="BF92" s="260"/>
      <c r="BG92" s="260"/>
      <c r="BH92" s="260"/>
      <c r="BI92" s="260"/>
      <c r="BJ92" s="260"/>
      <c r="BK92" s="260"/>
      <c r="BL92" s="260"/>
      <c r="BM92" s="260"/>
      <c r="BN92" s="260"/>
      <c r="BO92" s="260"/>
      <c r="BP92" s="260"/>
      <c r="BQ92" s="260"/>
      <c r="BR92" s="260"/>
      <c r="BS92" s="260"/>
      <c r="BT92" s="283"/>
      <c r="BU92" s="260"/>
      <c r="BV92" s="260"/>
      <c r="BW92" s="260"/>
      <c r="BX92" s="260"/>
      <c r="BY92" s="283"/>
      <c r="BZ92" s="260"/>
      <c r="CA92" s="260"/>
      <c r="CB92" s="260"/>
      <c r="CC92" s="260"/>
      <c r="CD92" s="260"/>
    </row>
    <row r="93" spans="1:82" ht="19" x14ac:dyDescent="0.25">
      <c r="A93" s="260"/>
      <c r="B93" s="263" t="s">
        <v>211</v>
      </c>
      <c r="C93" s="260"/>
      <c r="D93" s="260"/>
      <c r="E93" s="260"/>
      <c r="F93" s="260"/>
      <c r="G93" s="260"/>
      <c r="H93" s="260"/>
      <c r="I93" s="260"/>
      <c r="J93" s="283"/>
      <c r="K93" s="260"/>
      <c r="L93" s="260"/>
      <c r="M93" s="260"/>
      <c r="N93" s="260"/>
      <c r="O93" s="283"/>
      <c r="P93" s="260"/>
      <c r="Q93" s="260"/>
      <c r="R93" s="260"/>
      <c r="S93" s="260"/>
      <c r="T93" s="260"/>
      <c r="U93" s="260"/>
      <c r="V93" s="263" t="s">
        <v>211</v>
      </c>
      <c r="W93" s="260"/>
      <c r="X93" s="260"/>
      <c r="Y93" s="260"/>
      <c r="Z93" s="260"/>
      <c r="AA93" s="260"/>
      <c r="AB93" s="260"/>
      <c r="AC93" s="260"/>
      <c r="AD93" s="283"/>
      <c r="AE93" s="260"/>
      <c r="AF93" s="260"/>
      <c r="AG93" s="260"/>
      <c r="AH93" s="260"/>
      <c r="AI93" s="283"/>
      <c r="AJ93" s="260"/>
      <c r="AK93" s="260"/>
      <c r="AL93" s="260"/>
      <c r="AM93" s="260"/>
      <c r="AN93" s="260"/>
      <c r="AO93" s="260"/>
      <c r="AP93" s="260"/>
      <c r="AQ93" s="263" t="s">
        <v>211</v>
      </c>
      <c r="AR93" s="260"/>
      <c r="AS93" s="260"/>
      <c r="AT93" s="260"/>
      <c r="AU93" s="260"/>
      <c r="AV93" s="260"/>
      <c r="AW93" s="260"/>
      <c r="AX93" s="260"/>
      <c r="AY93" s="283"/>
      <c r="AZ93" s="260"/>
      <c r="BA93" s="260"/>
      <c r="BB93" s="260"/>
      <c r="BC93" s="260"/>
      <c r="BD93" s="283"/>
      <c r="BE93" s="260"/>
      <c r="BF93" s="260"/>
      <c r="BG93" s="260"/>
      <c r="BH93" s="260"/>
      <c r="BI93" s="260"/>
      <c r="BJ93" s="260"/>
      <c r="BK93" s="260"/>
      <c r="BL93" s="263" t="s">
        <v>211</v>
      </c>
      <c r="BM93" s="260"/>
      <c r="BN93" s="260"/>
      <c r="BO93" s="260"/>
      <c r="BP93" s="260"/>
      <c r="BQ93" s="260"/>
      <c r="BR93" s="260"/>
      <c r="BS93" s="260"/>
      <c r="BT93" s="283"/>
      <c r="BU93" s="260"/>
      <c r="BV93" s="260"/>
      <c r="BW93" s="260"/>
      <c r="BX93" s="260"/>
      <c r="BY93" s="283"/>
      <c r="BZ93" s="260"/>
      <c r="CA93" s="260"/>
      <c r="CB93" s="260"/>
      <c r="CC93" s="260"/>
      <c r="CD93" s="260"/>
    </row>
    <row r="94" spans="1:82" ht="32" x14ac:dyDescent="0.2">
      <c r="A94" s="260"/>
      <c r="B94" s="264" t="s">
        <v>12</v>
      </c>
      <c r="C94" s="265" t="s">
        <v>15</v>
      </c>
      <c r="D94" s="265" t="s">
        <v>13</v>
      </c>
      <c r="E94" s="265" t="s">
        <v>37</v>
      </c>
      <c r="F94" s="265" t="s">
        <v>35</v>
      </c>
      <c r="G94" s="265" t="s">
        <v>36</v>
      </c>
      <c r="H94" s="265" t="s">
        <v>38</v>
      </c>
      <c r="I94" s="265" t="s">
        <v>39</v>
      </c>
      <c r="J94" s="265" t="s">
        <v>40</v>
      </c>
      <c r="K94" s="265" t="s">
        <v>41</v>
      </c>
      <c r="L94" s="265" t="s">
        <v>42</v>
      </c>
      <c r="M94" s="265" t="s">
        <v>43</v>
      </c>
      <c r="N94" s="265" t="s">
        <v>44</v>
      </c>
      <c r="O94" s="265" t="s">
        <v>45</v>
      </c>
      <c r="P94" s="265" t="s">
        <v>46</v>
      </c>
      <c r="Q94" s="265" t="s">
        <v>47</v>
      </c>
      <c r="R94" s="265" t="s">
        <v>75</v>
      </c>
      <c r="S94" s="265" t="s">
        <v>76</v>
      </c>
      <c r="T94" s="489" t="s">
        <v>77</v>
      </c>
      <c r="U94" s="260"/>
      <c r="V94" s="264" t="s">
        <v>12</v>
      </c>
      <c r="W94" s="265" t="s">
        <v>15</v>
      </c>
      <c r="X94" s="265" t="s">
        <v>13</v>
      </c>
      <c r="Y94" s="265" t="s">
        <v>37</v>
      </c>
      <c r="Z94" s="265" t="s">
        <v>35</v>
      </c>
      <c r="AA94" s="265" t="s">
        <v>36</v>
      </c>
      <c r="AB94" s="265" t="s">
        <v>38</v>
      </c>
      <c r="AC94" s="265" t="s">
        <v>39</v>
      </c>
      <c r="AD94" s="265" t="s">
        <v>40</v>
      </c>
      <c r="AE94" s="265" t="s">
        <v>41</v>
      </c>
      <c r="AF94" s="265" t="s">
        <v>42</v>
      </c>
      <c r="AG94" s="265" t="s">
        <v>43</v>
      </c>
      <c r="AH94" s="265" t="s">
        <v>44</v>
      </c>
      <c r="AI94" s="265" t="s">
        <v>45</v>
      </c>
      <c r="AJ94" s="265" t="s">
        <v>46</v>
      </c>
      <c r="AK94" s="265" t="s">
        <v>47</v>
      </c>
      <c r="AL94" s="265" t="s">
        <v>75</v>
      </c>
      <c r="AM94" s="265" t="s">
        <v>76</v>
      </c>
      <c r="AN94" s="489" t="s">
        <v>77</v>
      </c>
      <c r="AO94" s="260"/>
      <c r="AP94" s="260"/>
      <c r="AQ94" s="264" t="s">
        <v>12</v>
      </c>
      <c r="AR94" s="265" t="s">
        <v>15</v>
      </c>
      <c r="AS94" s="265" t="s">
        <v>13</v>
      </c>
      <c r="AT94" s="265" t="s">
        <v>37</v>
      </c>
      <c r="AU94" s="265" t="s">
        <v>35</v>
      </c>
      <c r="AV94" s="265" t="s">
        <v>36</v>
      </c>
      <c r="AW94" s="265" t="s">
        <v>38</v>
      </c>
      <c r="AX94" s="265" t="s">
        <v>39</v>
      </c>
      <c r="AY94" s="265" t="s">
        <v>40</v>
      </c>
      <c r="AZ94" s="265" t="s">
        <v>41</v>
      </c>
      <c r="BA94" s="265" t="s">
        <v>42</v>
      </c>
      <c r="BB94" s="265" t="s">
        <v>43</v>
      </c>
      <c r="BC94" s="265" t="s">
        <v>44</v>
      </c>
      <c r="BD94" s="265" t="s">
        <v>45</v>
      </c>
      <c r="BE94" s="265" t="s">
        <v>46</v>
      </c>
      <c r="BF94" s="265" t="s">
        <v>47</v>
      </c>
      <c r="BG94" s="265" t="s">
        <v>75</v>
      </c>
      <c r="BH94" s="265" t="s">
        <v>76</v>
      </c>
      <c r="BI94" s="489" t="s">
        <v>77</v>
      </c>
      <c r="BJ94" s="260"/>
      <c r="BK94" s="260"/>
      <c r="BL94" s="264" t="s">
        <v>12</v>
      </c>
      <c r="BM94" s="265" t="s">
        <v>15</v>
      </c>
      <c r="BN94" s="265" t="s">
        <v>13</v>
      </c>
      <c r="BO94" s="265" t="s">
        <v>37</v>
      </c>
      <c r="BP94" s="265" t="s">
        <v>35</v>
      </c>
      <c r="BQ94" s="265" t="s">
        <v>36</v>
      </c>
      <c r="BR94" s="265" t="s">
        <v>38</v>
      </c>
      <c r="BS94" s="265" t="s">
        <v>39</v>
      </c>
      <c r="BT94" s="265" t="s">
        <v>40</v>
      </c>
      <c r="BU94" s="265" t="s">
        <v>41</v>
      </c>
      <c r="BV94" s="265" t="s">
        <v>42</v>
      </c>
      <c r="BW94" s="265" t="s">
        <v>43</v>
      </c>
      <c r="BX94" s="265" t="s">
        <v>44</v>
      </c>
      <c r="BY94" s="265" t="s">
        <v>45</v>
      </c>
      <c r="BZ94" s="265" t="s">
        <v>46</v>
      </c>
      <c r="CA94" s="265" t="s">
        <v>47</v>
      </c>
      <c r="CB94" s="265" t="s">
        <v>75</v>
      </c>
      <c r="CC94" s="265" t="s">
        <v>76</v>
      </c>
      <c r="CD94" s="489" t="s">
        <v>77</v>
      </c>
    </row>
    <row r="95" spans="1:82" x14ac:dyDescent="0.2">
      <c r="A95" s="260"/>
      <c r="B95" s="269" t="s">
        <v>0</v>
      </c>
      <c r="C95" s="270">
        <v>74061018</v>
      </c>
      <c r="D95" s="270">
        <v>20012871</v>
      </c>
      <c r="E95" s="878">
        <v>5.8999999999999997E-2</v>
      </c>
      <c r="F95" s="521">
        <v>5.8000000000000003E-2</v>
      </c>
      <c r="G95" s="880">
        <v>5.7000000000000002E-2</v>
      </c>
      <c r="H95" s="845">
        <v>5.6000000000000001E-2</v>
      </c>
      <c r="I95" s="637">
        <v>5.5E-2</v>
      </c>
      <c r="J95" s="635">
        <v>5.3999999999999999E-2</v>
      </c>
      <c r="K95" s="881">
        <v>5.2999999999999999E-2</v>
      </c>
      <c r="L95" s="522">
        <v>5.2999999999999999E-2</v>
      </c>
      <c r="M95" s="610">
        <v>5.1999999999999998E-2</v>
      </c>
      <c r="N95" s="582">
        <v>5.0999999999999997E-2</v>
      </c>
      <c r="O95" s="630">
        <v>0.05</v>
      </c>
      <c r="P95" s="1002">
        <v>4.9000000000000002E-2</v>
      </c>
      <c r="Q95" s="494">
        <v>4.9000000000000002E-2</v>
      </c>
      <c r="R95" s="599">
        <v>4.8000000000000001E-2</v>
      </c>
      <c r="S95" s="639">
        <v>4.7E-2</v>
      </c>
      <c r="T95" s="1003">
        <v>4.5999999999999999E-2</v>
      </c>
      <c r="U95" s="260"/>
      <c r="V95" s="269" t="s">
        <v>0</v>
      </c>
      <c r="W95" s="270">
        <v>74061018</v>
      </c>
      <c r="X95" s="270">
        <v>20012871</v>
      </c>
      <c r="Y95" s="851">
        <v>6.0999999999999999E-2</v>
      </c>
      <c r="Z95" s="878">
        <v>0.06</v>
      </c>
      <c r="AA95" s="572">
        <v>5.8000000000000003E-2</v>
      </c>
      <c r="AB95" s="612">
        <v>5.7000000000000002E-2</v>
      </c>
      <c r="AC95" s="540">
        <v>5.6000000000000001E-2</v>
      </c>
      <c r="AD95" s="611">
        <v>5.5E-2</v>
      </c>
      <c r="AE95" s="606">
        <v>5.3999999999999999E-2</v>
      </c>
      <c r="AF95" s="875">
        <v>5.2999999999999999E-2</v>
      </c>
      <c r="AG95" s="874">
        <v>5.1999999999999998E-2</v>
      </c>
      <c r="AH95" s="618">
        <v>5.0999999999999997E-2</v>
      </c>
      <c r="AI95" s="1004">
        <v>0.05</v>
      </c>
      <c r="AJ95" s="600">
        <v>4.9000000000000002E-2</v>
      </c>
      <c r="AK95" s="834">
        <v>4.8000000000000001E-2</v>
      </c>
      <c r="AL95" s="505">
        <v>4.7E-2</v>
      </c>
      <c r="AM95" s="603">
        <v>4.5999999999999999E-2</v>
      </c>
      <c r="AN95" s="1005">
        <v>4.4999999999999998E-2</v>
      </c>
      <c r="AO95" s="260"/>
      <c r="AP95" s="260"/>
      <c r="AQ95" s="269" t="s">
        <v>0</v>
      </c>
      <c r="AR95" s="270">
        <v>74061018</v>
      </c>
      <c r="AS95" s="270">
        <v>20012871</v>
      </c>
      <c r="AT95" s="535">
        <v>6.2E-2</v>
      </c>
      <c r="AU95" s="613">
        <v>0.06</v>
      </c>
      <c r="AV95" s="521">
        <v>5.8999999999999997E-2</v>
      </c>
      <c r="AW95" s="880">
        <v>5.7000000000000002E-2</v>
      </c>
      <c r="AX95" s="845">
        <v>5.6000000000000001E-2</v>
      </c>
      <c r="AY95" s="877">
        <v>5.5E-2</v>
      </c>
      <c r="AZ95" s="604">
        <v>5.3999999999999999E-2</v>
      </c>
      <c r="BA95" s="493">
        <v>5.2999999999999999E-2</v>
      </c>
      <c r="BB95" s="504">
        <v>5.1999999999999998E-2</v>
      </c>
      <c r="BC95" s="618">
        <v>5.0999999999999997E-2</v>
      </c>
      <c r="BD95" s="1006">
        <v>0.05</v>
      </c>
      <c r="BE95" s="605">
        <v>4.9000000000000002E-2</v>
      </c>
      <c r="BF95" s="1007">
        <v>4.8000000000000001E-2</v>
      </c>
      <c r="BG95" s="536">
        <v>4.7E-2</v>
      </c>
      <c r="BH95" s="599">
        <v>4.5999999999999999E-2</v>
      </c>
      <c r="BI95" s="1008">
        <v>4.4999999999999998E-2</v>
      </c>
      <c r="BJ95" s="260"/>
      <c r="BK95" s="260"/>
      <c r="BL95" s="269" t="s">
        <v>0</v>
      </c>
      <c r="BM95" s="270">
        <v>74061018</v>
      </c>
      <c r="BN95" s="270">
        <v>20012871</v>
      </c>
      <c r="BO95" s="491">
        <v>6.3E-2</v>
      </c>
      <c r="BP95" s="583">
        <v>6.0999999999999999E-2</v>
      </c>
      <c r="BQ95" s="1009">
        <v>0.06</v>
      </c>
      <c r="BR95" s="492">
        <v>5.8000000000000003E-2</v>
      </c>
      <c r="BS95" s="503">
        <v>5.7000000000000002E-2</v>
      </c>
      <c r="BT95" s="637">
        <v>5.5E-2</v>
      </c>
      <c r="BU95" s="635">
        <v>5.3999999999999999E-2</v>
      </c>
      <c r="BV95" s="881">
        <v>5.2999999999999999E-2</v>
      </c>
      <c r="BW95" s="522">
        <v>5.0999999999999997E-2</v>
      </c>
      <c r="BX95" s="610">
        <v>0.05</v>
      </c>
      <c r="BY95" s="582">
        <v>4.9000000000000002E-2</v>
      </c>
      <c r="BZ95" s="630">
        <v>4.8000000000000001E-2</v>
      </c>
      <c r="CA95" s="1002">
        <v>4.7E-2</v>
      </c>
      <c r="CB95" s="494">
        <v>4.5999999999999999E-2</v>
      </c>
      <c r="CC95" s="505">
        <v>4.4999999999999998E-2</v>
      </c>
      <c r="CD95" s="1010">
        <v>4.3999999999999997E-2</v>
      </c>
    </row>
    <row r="96" spans="1:82" x14ac:dyDescent="0.2">
      <c r="A96" s="260"/>
      <c r="B96" s="269" t="s">
        <v>1</v>
      </c>
      <c r="C96" s="270">
        <v>164966422</v>
      </c>
      <c r="D96" s="270">
        <v>66753996</v>
      </c>
      <c r="E96" s="567">
        <v>7.0999999999999994E-2</v>
      </c>
      <c r="F96" s="547">
        <v>7.0000000000000007E-2</v>
      </c>
      <c r="G96" s="527">
        <v>6.9000000000000006E-2</v>
      </c>
      <c r="H96" s="517">
        <v>6.8000000000000005E-2</v>
      </c>
      <c r="I96" s="571">
        <v>6.7000000000000004E-2</v>
      </c>
      <c r="J96" s="518">
        <v>6.6000000000000003E-2</v>
      </c>
      <c r="K96" s="554">
        <v>6.5000000000000002E-2</v>
      </c>
      <c r="L96" s="501">
        <v>6.4000000000000001E-2</v>
      </c>
      <c r="M96" s="520">
        <v>6.3E-2</v>
      </c>
      <c r="N96" s="490">
        <v>6.3E-2</v>
      </c>
      <c r="O96" s="534">
        <v>6.2E-2</v>
      </c>
      <c r="P96" s="511">
        <v>6.0999999999999999E-2</v>
      </c>
      <c r="Q96" s="502">
        <v>0.06</v>
      </c>
      <c r="R96" s="851">
        <v>0.06</v>
      </c>
      <c r="S96" s="636">
        <v>5.8999999999999997E-2</v>
      </c>
      <c r="T96" s="1011">
        <v>5.8000000000000003E-2</v>
      </c>
      <c r="U96" s="260"/>
      <c r="V96" s="269" t="s">
        <v>1</v>
      </c>
      <c r="W96" s="270">
        <v>164966422</v>
      </c>
      <c r="X96" s="270">
        <v>66753996</v>
      </c>
      <c r="Y96" s="526">
        <v>7.5999999999999998E-2</v>
      </c>
      <c r="Z96" s="552">
        <v>7.3999999999999996E-2</v>
      </c>
      <c r="AA96" s="559">
        <v>7.2999999999999995E-2</v>
      </c>
      <c r="AB96" s="888">
        <v>7.0999999999999994E-2</v>
      </c>
      <c r="AC96" s="571">
        <v>7.0000000000000007E-2</v>
      </c>
      <c r="AD96" s="518">
        <v>6.8000000000000005E-2</v>
      </c>
      <c r="AE96" s="519">
        <v>6.7000000000000004E-2</v>
      </c>
      <c r="AF96" s="532">
        <v>6.6000000000000003E-2</v>
      </c>
      <c r="AG96" s="533">
        <v>6.5000000000000002E-2</v>
      </c>
      <c r="AH96" s="509">
        <v>6.4000000000000001E-2</v>
      </c>
      <c r="AI96" s="511">
        <v>6.3E-2</v>
      </c>
      <c r="AJ96" s="502">
        <v>6.2E-2</v>
      </c>
      <c r="AK96" s="583">
        <v>6.0999999999999999E-2</v>
      </c>
      <c r="AL96" s="613">
        <v>0.06</v>
      </c>
      <c r="AM96" s="807">
        <v>5.8999999999999997E-2</v>
      </c>
      <c r="AN96" s="1012">
        <v>5.8000000000000003E-2</v>
      </c>
      <c r="AO96" s="260"/>
      <c r="AP96" s="260"/>
      <c r="AQ96" s="269" t="s">
        <v>1</v>
      </c>
      <c r="AR96" s="270">
        <v>164966422</v>
      </c>
      <c r="AS96" s="270">
        <v>66753996</v>
      </c>
      <c r="AT96" s="526">
        <v>7.8E-2</v>
      </c>
      <c r="AU96" s="552">
        <v>7.5999999999999998E-2</v>
      </c>
      <c r="AV96" s="559">
        <v>7.3999999999999996E-2</v>
      </c>
      <c r="AW96" s="560">
        <v>7.1999999999999995E-2</v>
      </c>
      <c r="AX96" s="571">
        <v>7.0999999999999994E-2</v>
      </c>
      <c r="AY96" s="518">
        <v>6.9000000000000006E-2</v>
      </c>
      <c r="AZ96" s="519">
        <v>6.8000000000000005E-2</v>
      </c>
      <c r="BA96" s="532">
        <v>6.6000000000000003E-2</v>
      </c>
      <c r="BB96" s="533">
        <v>6.5000000000000002E-2</v>
      </c>
      <c r="BC96" s="534">
        <v>6.4000000000000001E-2</v>
      </c>
      <c r="BD96" s="511">
        <v>6.3E-2</v>
      </c>
      <c r="BE96" s="535">
        <v>6.2E-2</v>
      </c>
      <c r="BF96" s="886">
        <v>6.0999999999999999E-2</v>
      </c>
      <c r="BG96" s="878">
        <v>0.06</v>
      </c>
      <c r="BH96" s="616">
        <v>5.8999999999999997E-2</v>
      </c>
      <c r="BI96" s="855">
        <v>5.8000000000000003E-2</v>
      </c>
      <c r="BJ96" s="260"/>
      <c r="BK96" s="260"/>
      <c r="BL96" s="269" t="s">
        <v>1</v>
      </c>
      <c r="BM96" s="270">
        <v>164966422</v>
      </c>
      <c r="BN96" s="270">
        <v>66753996</v>
      </c>
      <c r="BO96" s="565">
        <v>8.1000000000000003E-2</v>
      </c>
      <c r="BP96" s="566">
        <v>7.9000000000000001E-2</v>
      </c>
      <c r="BQ96" s="839">
        <v>7.5999999999999998E-2</v>
      </c>
      <c r="BR96" s="560">
        <v>7.3999999999999996E-2</v>
      </c>
      <c r="BS96" s="571">
        <v>7.1999999999999995E-2</v>
      </c>
      <c r="BT96" s="524">
        <v>7.0999999999999994E-2</v>
      </c>
      <c r="BU96" s="519">
        <v>6.9000000000000006E-2</v>
      </c>
      <c r="BV96" s="532">
        <v>6.7000000000000004E-2</v>
      </c>
      <c r="BW96" s="490">
        <v>6.6000000000000003E-2</v>
      </c>
      <c r="BX96" s="510">
        <v>6.4000000000000001E-2</v>
      </c>
      <c r="BY96" s="491">
        <v>6.3E-2</v>
      </c>
      <c r="BZ96" s="851">
        <v>6.2E-2</v>
      </c>
      <c r="CA96" s="636">
        <v>6.0999999999999999E-2</v>
      </c>
      <c r="CB96" s="807">
        <v>0.06</v>
      </c>
      <c r="CC96" s="572">
        <v>5.8000000000000003E-2</v>
      </c>
      <c r="CD96" s="1013">
        <v>5.7000000000000002E-2</v>
      </c>
    </row>
    <row r="97" spans="1:82" x14ac:dyDescent="0.2">
      <c r="A97" s="260"/>
      <c r="B97" s="269" t="s">
        <v>2</v>
      </c>
      <c r="C97" s="270">
        <v>111850438</v>
      </c>
      <c r="D97" s="270">
        <v>59635518</v>
      </c>
      <c r="E97" s="543">
        <v>0.127</v>
      </c>
      <c r="F97" s="1014">
        <v>0.11899999999999999</v>
      </c>
      <c r="G97" s="1015">
        <v>0.112</v>
      </c>
      <c r="H97" s="551">
        <v>0.106</v>
      </c>
      <c r="I97" s="1016">
        <v>0.1</v>
      </c>
      <c r="J97" s="853">
        <v>9.6000000000000002E-2</v>
      </c>
      <c r="K97" s="1017">
        <v>9.1999999999999998E-2</v>
      </c>
      <c r="L97" s="545">
        <v>8.7999999999999995E-2</v>
      </c>
      <c r="M97" s="887">
        <v>8.5000000000000006E-2</v>
      </c>
      <c r="N97" s="1018">
        <v>8.2000000000000003E-2</v>
      </c>
      <c r="O97" s="621">
        <v>7.9000000000000001E-2</v>
      </c>
      <c r="P97" s="569">
        <v>7.5999999999999998E-2</v>
      </c>
      <c r="Q97" s="818">
        <v>7.3999999999999996E-2</v>
      </c>
      <c r="R97" s="526">
        <v>7.1999999999999995E-2</v>
      </c>
      <c r="S97" s="547">
        <v>7.0000000000000007E-2</v>
      </c>
      <c r="T97" s="1019">
        <v>6.8000000000000005E-2</v>
      </c>
      <c r="U97" s="260"/>
      <c r="V97" s="269" t="s">
        <v>2</v>
      </c>
      <c r="W97" s="270">
        <v>111850438</v>
      </c>
      <c r="X97" s="270">
        <v>59635518</v>
      </c>
      <c r="Y97" s="543">
        <v>0.14599999999999999</v>
      </c>
      <c r="Z97" s="1020">
        <v>0.13300000000000001</v>
      </c>
      <c r="AA97" s="830">
        <v>0.123</v>
      </c>
      <c r="AB97" s="1021">
        <v>0.114</v>
      </c>
      <c r="AC97" s="853">
        <v>0.107</v>
      </c>
      <c r="AD97" s="824">
        <v>0.1</v>
      </c>
      <c r="AE97" s="832">
        <v>9.5000000000000001E-2</v>
      </c>
      <c r="AF97" s="1022">
        <v>0.09</v>
      </c>
      <c r="AG97" s="562">
        <v>8.5999999999999993E-2</v>
      </c>
      <c r="AH97" s="563">
        <v>8.2000000000000003E-2</v>
      </c>
      <c r="AI97" s="539">
        <v>7.8E-2</v>
      </c>
      <c r="AJ97" s="566">
        <v>7.4999999999999997E-2</v>
      </c>
      <c r="AK97" s="527">
        <v>7.1999999999999995E-2</v>
      </c>
      <c r="AL97" s="571">
        <v>7.0000000000000007E-2</v>
      </c>
      <c r="AM97" s="519">
        <v>6.7000000000000004E-2</v>
      </c>
      <c r="AN97" s="873">
        <v>6.5000000000000002E-2</v>
      </c>
      <c r="AO97" s="260"/>
      <c r="AP97" s="260"/>
      <c r="AQ97" s="269" t="s">
        <v>2</v>
      </c>
      <c r="AR97" s="270">
        <v>111850438</v>
      </c>
      <c r="AS97" s="270">
        <v>59635518</v>
      </c>
      <c r="AT97" s="543">
        <v>0.153</v>
      </c>
      <c r="AU97" s="1023">
        <v>0.13800000000000001</v>
      </c>
      <c r="AV97" s="1024">
        <v>0.126</v>
      </c>
      <c r="AW97" s="1016">
        <v>0.11700000000000001</v>
      </c>
      <c r="AX97" s="1025">
        <v>0.108</v>
      </c>
      <c r="AY97" s="1026">
        <v>0.10199999999999999</v>
      </c>
      <c r="AZ97" s="1027">
        <v>9.6000000000000002E-2</v>
      </c>
      <c r="BA97" s="879">
        <v>0.09</v>
      </c>
      <c r="BB97" s="546">
        <v>8.5999999999999993E-2</v>
      </c>
      <c r="BC97" s="836">
        <v>8.2000000000000003E-2</v>
      </c>
      <c r="BD97" s="570">
        <v>7.8E-2</v>
      </c>
      <c r="BE97" s="547">
        <v>7.4999999999999997E-2</v>
      </c>
      <c r="BF97" s="517">
        <v>7.1999999999999995E-2</v>
      </c>
      <c r="BG97" s="524">
        <v>6.9000000000000006E-2</v>
      </c>
      <c r="BH97" s="532">
        <v>6.6000000000000003E-2</v>
      </c>
      <c r="BI97" s="1028">
        <v>6.4000000000000001E-2</v>
      </c>
      <c r="BJ97" s="260"/>
      <c r="BK97" s="260"/>
      <c r="BL97" s="269" t="s">
        <v>2</v>
      </c>
      <c r="BM97" s="270">
        <v>111850438</v>
      </c>
      <c r="BN97" s="270">
        <v>59635518</v>
      </c>
      <c r="BO97" s="543">
        <v>0.16500000000000001</v>
      </c>
      <c r="BP97" s="1029">
        <v>0.14699999999999999</v>
      </c>
      <c r="BQ97" s="551">
        <v>0.13300000000000001</v>
      </c>
      <c r="BR97" s="857">
        <v>0.121</v>
      </c>
      <c r="BS97" s="1017">
        <v>0.111</v>
      </c>
      <c r="BT97" s="832">
        <v>0.10299999999999999</v>
      </c>
      <c r="BU97" s="844">
        <v>9.7000000000000003E-2</v>
      </c>
      <c r="BV97" s="578">
        <v>9.0999999999999998E-2</v>
      </c>
      <c r="BW97" s="525">
        <v>8.5999999999999993E-2</v>
      </c>
      <c r="BX97" s="1030">
        <v>8.1000000000000003E-2</v>
      </c>
      <c r="BY97" s="547">
        <v>7.6999999999999999E-2</v>
      </c>
      <c r="BZ97" s="517">
        <v>7.2999999999999995E-2</v>
      </c>
      <c r="CA97" s="524">
        <v>7.0000000000000007E-2</v>
      </c>
      <c r="CB97" s="520">
        <v>6.7000000000000004E-2</v>
      </c>
      <c r="CC97" s="510">
        <v>6.4000000000000001E-2</v>
      </c>
      <c r="CD97" s="1031">
        <v>6.2E-2</v>
      </c>
    </row>
    <row r="98" spans="1:82" x14ac:dyDescent="0.2">
      <c r="A98" s="260"/>
      <c r="B98" s="269" t="s">
        <v>3</v>
      </c>
      <c r="C98" s="270">
        <v>477796928</v>
      </c>
      <c r="D98" s="270">
        <v>234399775</v>
      </c>
      <c r="E98" s="811">
        <v>7.4999999999999997E-2</v>
      </c>
      <c r="F98" s="564">
        <v>7.3999999999999996E-2</v>
      </c>
      <c r="G98" s="539">
        <v>7.2999999999999995E-2</v>
      </c>
      <c r="H98" s="565">
        <v>7.1999999999999995E-2</v>
      </c>
      <c r="I98" s="526">
        <v>7.1999999999999995E-2</v>
      </c>
      <c r="J98" s="566">
        <v>7.0999999999999994E-2</v>
      </c>
      <c r="K98" s="602">
        <v>7.0000000000000007E-2</v>
      </c>
      <c r="L98" s="547">
        <v>7.0000000000000007E-2</v>
      </c>
      <c r="M98" s="527">
        <v>6.9000000000000006E-2</v>
      </c>
      <c r="N98" s="608">
        <v>6.8000000000000005E-2</v>
      </c>
      <c r="O98" s="560">
        <v>6.8000000000000005E-2</v>
      </c>
      <c r="P98" s="517">
        <v>6.7000000000000004E-2</v>
      </c>
      <c r="Q98" s="553">
        <v>6.7000000000000004E-2</v>
      </c>
      <c r="R98" s="571">
        <v>6.7000000000000004E-2</v>
      </c>
      <c r="S98" s="561">
        <v>6.6000000000000003E-2</v>
      </c>
      <c r="T98" s="1032">
        <v>6.6000000000000003E-2</v>
      </c>
      <c r="U98" s="260"/>
      <c r="V98" s="269" t="s">
        <v>3</v>
      </c>
      <c r="W98" s="270">
        <v>477796928</v>
      </c>
      <c r="X98" s="270">
        <v>234399775</v>
      </c>
      <c r="Y98" s="569">
        <v>8.1000000000000003E-2</v>
      </c>
      <c r="Z98" s="836">
        <v>0.08</v>
      </c>
      <c r="AA98" s="539">
        <v>7.8E-2</v>
      </c>
      <c r="AB98" s="1030">
        <v>7.6999999999999999E-2</v>
      </c>
      <c r="AC98" s="838">
        <v>7.5999999999999998E-2</v>
      </c>
      <c r="AD98" s="552">
        <v>7.3999999999999996E-2</v>
      </c>
      <c r="AE98" s="547">
        <v>7.2999999999999995E-2</v>
      </c>
      <c r="AF98" s="527">
        <v>7.1999999999999995E-2</v>
      </c>
      <c r="AG98" s="560">
        <v>7.0999999999999994E-2</v>
      </c>
      <c r="AH98" s="517">
        <v>7.0999999999999994E-2</v>
      </c>
      <c r="AI98" s="571">
        <v>7.0000000000000007E-2</v>
      </c>
      <c r="AJ98" s="561">
        <v>6.9000000000000006E-2</v>
      </c>
      <c r="AK98" s="518">
        <v>6.8000000000000005E-2</v>
      </c>
      <c r="AL98" s="554">
        <v>6.8000000000000005E-2</v>
      </c>
      <c r="AM98" s="519">
        <v>6.7000000000000004E-2</v>
      </c>
      <c r="AN98" s="1033">
        <v>6.6000000000000003E-2</v>
      </c>
      <c r="AO98" s="260"/>
      <c r="AP98" s="260"/>
      <c r="AQ98" s="269" t="s">
        <v>3</v>
      </c>
      <c r="AR98" s="270">
        <v>477796928</v>
      </c>
      <c r="AS98" s="270">
        <v>234399775</v>
      </c>
      <c r="AT98" s="569">
        <v>8.4000000000000005E-2</v>
      </c>
      <c r="AU98" s="836">
        <v>8.2000000000000003E-2</v>
      </c>
      <c r="AV98" s="539">
        <v>0.08</v>
      </c>
      <c r="AW98" s="1030">
        <v>7.8E-2</v>
      </c>
      <c r="AX98" s="838">
        <v>7.6999999999999999E-2</v>
      </c>
      <c r="AY98" s="552">
        <v>7.5999999999999998E-2</v>
      </c>
      <c r="AZ98" s="839">
        <v>7.3999999999999996E-2</v>
      </c>
      <c r="BA98" s="527">
        <v>7.2999999999999995E-2</v>
      </c>
      <c r="BB98" s="888">
        <v>7.1999999999999995E-2</v>
      </c>
      <c r="BC98" s="553">
        <v>7.0999999999999994E-2</v>
      </c>
      <c r="BD98" s="614">
        <v>7.0000000000000007E-2</v>
      </c>
      <c r="BE98" s="518">
        <v>6.9000000000000006E-2</v>
      </c>
      <c r="BF98" s="524">
        <v>6.9000000000000006E-2</v>
      </c>
      <c r="BG98" s="519">
        <v>6.8000000000000005E-2</v>
      </c>
      <c r="BH98" s="501">
        <v>6.7000000000000004E-2</v>
      </c>
      <c r="BI98" s="1034">
        <v>6.7000000000000004E-2</v>
      </c>
      <c r="BJ98" s="260"/>
      <c r="BK98" s="260"/>
      <c r="BL98" s="269" t="s">
        <v>3</v>
      </c>
      <c r="BM98" s="270">
        <v>477796928</v>
      </c>
      <c r="BN98" s="270">
        <v>234399775</v>
      </c>
      <c r="BO98" s="615">
        <v>8.7999999999999995E-2</v>
      </c>
      <c r="BP98" s="811">
        <v>8.5000000000000006E-2</v>
      </c>
      <c r="BQ98" s="837">
        <v>8.3000000000000004E-2</v>
      </c>
      <c r="BR98" s="1030">
        <v>8.1000000000000003E-2</v>
      </c>
      <c r="BS98" s="838">
        <v>7.9000000000000001E-2</v>
      </c>
      <c r="BT98" s="602">
        <v>7.8E-2</v>
      </c>
      <c r="BU98" s="559">
        <v>7.5999999999999998E-2</v>
      </c>
      <c r="BV98" s="608">
        <v>7.4999999999999997E-2</v>
      </c>
      <c r="BW98" s="517">
        <v>7.2999999999999995E-2</v>
      </c>
      <c r="BX98" s="571">
        <v>7.1999999999999995E-2</v>
      </c>
      <c r="BY98" s="518">
        <v>7.0999999999999994E-2</v>
      </c>
      <c r="BZ98" s="524">
        <v>7.0000000000000007E-2</v>
      </c>
      <c r="CA98" s="519">
        <v>6.9000000000000006E-2</v>
      </c>
      <c r="CB98" s="501">
        <v>6.8000000000000005E-2</v>
      </c>
      <c r="CC98" s="532">
        <v>6.7000000000000004E-2</v>
      </c>
      <c r="CD98" s="873">
        <v>6.7000000000000004E-2</v>
      </c>
    </row>
    <row r="99" spans="1:82" x14ac:dyDescent="0.2">
      <c r="A99" s="260"/>
      <c r="B99" s="269" t="s">
        <v>4</v>
      </c>
      <c r="C99" s="270">
        <v>164227661</v>
      </c>
      <c r="D99" s="270">
        <v>96491379</v>
      </c>
      <c r="E99" s="1035">
        <v>0.107</v>
      </c>
      <c r="F99" s="1036">
        <v>0.10199999999999999</v>
      </c>
      <c r="G99" s="857">
        <v>9.8000000000000004E-2</v>
      </c>
      <c r="H99" s="576">
        <v>9.5000000000000001E-2</v>
      </c>
      <c r="I99" s="1037">
        <v>9.0999999999999998E-2</v>
      </c>
      <c r="J99" s="558">
        <v>8.7999999999999995E-2</v>
      </c>
      <c r="K99" s="1038">
        <v>8.5999999999999993E-2</v>
      </c>
      <c r="L99" s="1039">
        <v>8.3000000000000004E-2</v>
      </c>
      <c r="M99" s="1040">
        <v>8.1000000000000003E-2</v>
      </c>
      <c r="N99" s="621">
        <v>7.9000000000000001E-2</v>
      </c>
      <c r="O99" s="615">
        <v>7.6999999999999999E-2</v>
      </c>
      <c r="P99" s="525">
        <v>7.4999999999999997E-2</v>
      </c>
      <c r="Q99" s="539">
        <v>7.3999999999999996E-2</v>
      </c>
      <c r="R99" s="570">
        <v>7.1999999999999995E-2</v>
      </c>
      <c r="S99" s="552">
        <v>7.0999999999999994E-2</v>
      </c>
      <c r="T99" s="892">
        <v>6.9000000000000006E-2</v>
      </c>
      <c r="U99" s="260"/>
      <c r="V99" s="269" t="s">
        <v>4</v>
      </c>
      <c r="W99" s="270">
        <v>164227661</v>
      </c>
      <c r="X99" s="270">
        <v>96491379</v>
      </c>
      <c r="Y99" s="1024">
        <v>0.121</v>
      </c>
      <c r="Z99" s="1021">
        <v>0.114</v>
      </c>
      <c r="AA99" s="1041">
        <v>0.108</v>
      </c>
      <c r="AB99" s="1042">
        <v>0.10199999999999999</v>
      </c>
      <c r="AC99" s="1043">
        <v>9.7000000000000003E-2</v>
      </c>
      <c r="AD99" s="577">
        <v>9.2999999999999999E-2</v>
      </c>
      <c r="AE99" s="844">
        <v>0.09</v>
      </c>
      <c r="AF99" s="538">
        <v>8.5999999999999993E-2</v>
      </c>
      <c r="AG99" s="835">
        <v>8.3000000000000004E-2</v>
      </c>
      <c r="AH99" s="811">
        <v>0.08</v>
      </c>
      <c r="AI99" s="579">
        <v>7.8E-2</v>
      </c>
      <c r="AJ99" s="838">
        <v>7.5999999999999998E-2</v>
      </c>
      <c r="AK99" s="547">
        <v>7.2999999999999995E-2</v>
      </c>
      <c r="AL99" s="560">
        <v>7.0999999999999994E-2</v>
      </c>
      <c r="AM99" s="571">
        <v>7.0000000000000007E-2</v>
      </c>
      <c r="AN99" s="1044">
        <v>6.8000000000000005E-2</v>
      </c>
      <c r="AO99" s="260"/>
      <c r="AP99" s="260"/>
      <c r="AQ99" s="269" t="s">
        <v>4</v>
      </c>
      <c r="AR99" s="270">
        <v>164227661</v>
      </c>
      <c r="AS99" s="270">
        <v>96491379</v>
      </c>
      <c r="AT99" s="1024">
        <v>0.126</v>
      </c>
      <c r="AU99" s="1045">
        <v>0.11799999999999999</v>
      </c>
      <c r="AV99" s="876">
        <v>0.111</v>
      </c>
      <c r="AW99" s="1017">
        <v>0.105</v>
      </c>
      <c r="AX99" s="1046">
        <v>9.9000000000000005E-2</v>
      </c>
      <c r="AY99" s="858">
        <v>9.5000000000000001E-2</v>
      </c>
      <c r="AZ99" s="879">
        <v>9.0999999999999998E-2</v>
      </c>
      <c r="BA99" s="578">
        <v>8.6999999999999994E-2</v>
      </c>
      <c r="BB99" s="569">
        <v>8.4000000000000005E-2</v>
      </c>
      <c r="BC99" s="818">
        <v>8.1000000000000003E-2</v>
      </c>
      <c r="BD99" s="570">
        <v>7.8E-2</v>
      </c>
      <c r="BE99" s="602">
        <v>7.4999999999999997E-2</v>
      </c>
      <c r="BF99" s="527">
        <v>7.2999999999999995E-2</v>
      </c>
      <c r="BG99" s="553">
        <v>7.0999999999999994E-2</v>
      </c>
      <c r="BH99" s="524">
        <v>6.9000000000000006E-2</v>
      </c>
      <c r="BI99" s="1033">
        <v>6.7000000000000004E-2</v>
      </c>
      <c r="BJ99" s="260"/>
      <c r="BK99" s="260"/>
      <c r="BL99" s="269" t="s">
        <v>4</v>
      </c>
      <c r="BM99" s="270">
        <v>164227661</v>
      </c>
      <c r="BN99" s="270">
        <v>96491379</v>
      </c>
      <c r="BO99" s="1024">
        <v>0.13600000000000001</v>
      </c>
      <c r="BP99" s="1047">
        <v>0.125</v>
      </c>
      <c r="BQ99" s="831">
        <v>0.11600000000000001</v>
      </c>
      <c r="BR99" s="537">
        <v>0.109</v>
      </c>
      <c r="BS99" s="828">
        <v>0.10199999999999999</v>
      </c>
      <c r="BT99" s="1022">
        <v>9.7000000000000003E-2</v>
      </c>
      <c r="BU99" s="562">
        <v>9.1999999999999998E-2</v>
      </c>
      <c r="BV99" s="615">
        <v>8.7999999999999995E-2</v>
      </c>
      <c r="BW99" s="564">
        <v>8.4000000000000005E-2</v>
      </c>
      <c r="BX99" s="570">
        <v>8.1000000000000003E-2</v>
      </c>
      <c r="BY99" s="602">
        <v>7.8E-2</v>
      </c>
      <c r="BZ99" s="608">
        <v>7.4999999999999997E-2</v>
      </c>
      <c r="CA99" s="571">
        <v>7.1999999999999995E-2</v>
      </c>
      <c r="CB99" s="524">
        <v>7.0000000000000007E-2</v>
      </c>
      <c r="CC99" s="501">
        <v>6.8000000000000005E-2</v>
      </c>
      <c r="CD99" s="873">
        <v>6.6000000000000003E-2</v>
      </c>
    </row>
    <row r="100" spans="1:82" x14ac:dyDescent="0.2">
      <c r="A100" s="260"/>
      <c r="B100" s="269" t="s">
        <v>5</v>
      </c>
      <c r="C100" s="270">
        <v>407962628</v>
      </c>
      <c r="D100" s="270">
        <v>187745918</v>
      </c>
      <c r="E100" s="510">
        <v>6.2E-2</v>
      </c>
      <c r="F100" s="510">
        <v>6.0999999999999999E-2</v>
      </c>
      <c r="G100" s="511">
        <v>6.0999999999999999E-2</v>
      </c>
      <c r="H100" s="511">
        <v>6.0999999999999999E-2</v>
      </c>
      <c r="I100" s="491">
        <v>6.0999999999999999E-2</v>
      </c>
      <c r="J100" s="491">
        <v>6.0999999999999999E-2</v>
      </c>
      <c r="K100" s="502">
        <v>0.06</v>
      </c>
      <c r="L100" s="535">
        <v>0.06</v>
      </c>
      <c r="M100" s="851">
        <v>0.06</v>
      </c>
      <c r="N100" s="851">
        <v>0.06</v>
      </c>
      <c r="O100" s="583">
        <v>0.06</v>
      </c>
      <c r="P100" s="886">
        <v>5.8999999999999997E-2</v>
      </c>
      <c r="Q100" s="886">
        <v>5.8999999999999997E-2</v>
      </c>
      <c r="R100" s="636">
        <v>5.8999999999999997E-2</v>
      </c>
      <c r="S100" s="636">
        <v>5.8999999999999997E-2</v>
      </c>
      <c r="T100" s="1048">
        <v>5.8999999999999997E-2</v>
      </c>
      <c r="U100" s="260"/>
      <c r="V100" s="269" t="s">
        <v>5</v>
      </c>
      <c r="W100" s="270">
        <v>407962628</v>
      </c>
      <c r="X100" s="270">
        <v>187745918</v>
      </c>
      <c r="Y100" s="533">
        <v>6.5000000000000002E-2</v>
      </c>
      <c r="Z100" s="490">
        <v>6.4000000000000001E-2</v>
      </c>
      <c r="AA100" s="509">
        <v>6.4000000000000001E-2</v>
      </c>
      <c r="AB100" s="510">
        <v>6.3E-2</v>
      </c>
      <c r="AC100" s="510">
        <v>6.3E-2</v>
      </c>
      <c r="AD100" s="511">
        <v>6.3E-2</v>
      </c>
      <c r="AE100" s="491">
        <v>6.2E-2</v>
      </c>
      <c r="AF100" s="491">
        <v>6.2E-2</v>
      </c>
      <c r="AG100" s="502">
        <v>6.2E-2</v>
      </c>
      <c r="AH100" s="851">
        <v>6.0999999999999999E-2</v>
      </c>
      <c r="AI100" s="851">
        <v>6.0999999999999999E-2</v>
      </c>
      <c r="AJ100" s="583">
        <v>6.0999999999999999E-2</v>
      </c>
      <c r="AK100" s="886">
        <v>0.06</v>
      </c>
      <c r="AL100" s="636">
        <v>0.06</v>
      </c>
      <c r="AM100" s="613">
        <v>0.06</v>
      </c>
      <c r="AN100" s="891">
        <v>0.06</v>
      </c>
      <c r="AO100" s="260"/>
      <c r="AP100" s="260"/>
      <c r="AQ100" s="269" t="s">
        <v>5</v>
      </c>
      <c r="AR100" s="270">
        <v>407962628</v>
      </c>
      <c r="AS100" s="270">
        <v>187745918</v>
      </c>
      <c r="AT100" s="533">
        <v>6.6000000000000003E-2</v>
      </c>
      <c r="AU100" s="490">
        <v>6.5000000000000002E-2</v>
      </c>
      <c r="AV100" s="490">
        <v>6.4000000000000001E-2</v>
      </c>
      <c r="AW100" s="534">
        <v>6.4000000000000001E-2</v>
      </c>
      <c r="AX100" s="510">
        <v>6.4000000000000001E-2</v>
      </c>
      <c r="AY100" s="511">
        <v>6.3E-2</v>
      </c>
      <c r="AZ100" s="491">
        <v>6.3E-2</v>
      </c>
      <c r="BA100" s="491">
        <v>6.2E-2</v>
      </c>
      <c r="BB100" s="502">
        <v>6.2E-2</v>
      </c>
      <c r="BC100" s="535">
        <v>6.2E-2</v>
      </c>
      <c r="BD100" s="851">
        <v>6.0999999999999999E-2</v>
      </c>
      <c r="BE100" s="583">
        <v>6.0999999999999999E-2</v>
      </c>
      <c r="BF100" s="886">
        <v>6.0999999999999999E-2</v>
      </c>
      <c r="BG100" s="636">
        <v>0.06</v>
      </c>
      <c r="BH100" s="613">
        <v>0.06</v>
      </c>
      <c r="BI100" s="891">
        <v>0.06</v>
      </c>
      <c r="BJ100" s="260"/>
      <c r="BK100" s="260"/>
      <c r="BL100" s="269" t="s">
        <v>5</v>
      </c>
      <c r="BM100" s="270">
        <v>407962628</v>
      </c>
      <c r="BN100" s="270">
        <v>187745918</v>
      </c>
      <c r="BO100" s="532">
        <v>6.8000000000000005E-2</v>
      </c>
      <c r="BP100" s="520">
        <v>6.7000000000000004E-2</v>
      </c>
      <c r="BQ100" s="533">
        <v>6.6000000000000003E-2</v>
      </c>
      <c r="BR100" s="490">
        <v>6.5000000000000002E-2</v>
      </c>
      <c r="BS100" s="534">
        <v>6.5000000000000002E-2</v>
      </c>
      <c r="BT100" s="510">
        <v>6.4000000000000001E-2</v>
      </c>
      <c r="BU100" s="511">
        <v>6.4000000000000001E-2</v>
      </c>
      <c r="BV100" s="491">
        <v>6.3E-2</v>
      </c>
      <c r="BW100" s="491">
        <v>6.3E-2</v>
      </c>
      <c r="BX100" s="502">
        <v>6.2E-2</v>
      </c>
      <c r="BY100" s="851">
        <v>6.2E-2</v>
      </c>
      <c r="BZ100" s="583">
        <v>6.0999999999999999E-2</v>
      </c>
      <c r="CA100" s="886">
        <v>6.0999999999999999E-2</v>
      </c>
      <c r="CB100" s="636">
        <v>6.0999999999999999E-2</v>
      </c>
      <c r="CC100" s="613">
        <v>0.06</v>
      </c>
      <c r="CD100" s="891">
        <v>0.06</v>
      </c>
    </row>
    <row r="101" spans="1:82" x14ac:dyDescent="0.2">
      <c r="A101" s="260"/>
      <c r="B101" s="269" t="s">
        <v>6</v>
      </c>
      <c r="C101" s="270">
        <v>295355340</v>
      </c>
      <c r="D101" s="270">
        <v>30753929</v>
      </c>
      <c r="E101" s="500">
        <v>2.9000000000000001E-2</v>
      </c>
      <c r="F101" s="500">
        <v>0.03</v>
      </c>
      <c r="G101" s="1049">
        <v>0.03</v>
      </c>
      <c r="H101" s="866">
        <v>0.03</v>
      </c>
      <c r="I101" s="893">
        <v>0.03</v>
      </c>
      <c r="J101" s="1050">
        <v>0.03</v>
      </c>
      <c r="K101" s="1051">
        <v>3.1E-2</v>
      </c>
      <c r="L101" s="1052">
        <v>3.1E-2</v>
      </c>
      <c r="M101" s="550">
        <v>3.1E-2</v>
      </c>
      <c r="N101" s="498">
        <v>3.1E-2</v>
      </c>
      <c r="O101" s="1053">
        <v>3.2000000000000001E-2</v>
      </c>
      <c r="P101" s="854">
        <v>3.2000000000000001E-2</v>
      </c>
      <c r="Q101" s="809">
        <v>3.2000000000000001E-2</v>
      </c>
      <c r="R101" s="508">
        <v>3.2000000000000001E-2</v>
      </c>
      <c r="S101" s="1054">
        <v>3.3000000000000002E-2</v>
      </c>
      <c r="T101" s="1055">
        <v>3.3000000000000002E-2</v>
      </c>
      <c r="U101" s="260"/>
      <c r="V101" s="269" t="s">
        <v>6</v>
      </c>
      <c r="W101" s="270">
        <v>295355340</v>
      </c>
      <c r="X101" s="270">
        <v>30753929</v>
      </c>
      <c r="Y101" s="500">
        <v>2.4E-2</v>
      </c>
      <c r="Z101" s="1049">
        <v>2.5000000000000001E-2</v>
      </c>
      <c r="AA101" s="866">
        <v>2.5000000000000001E-2</v>
      </c>
      <c r="AB101" s="1050">
        <v>2.5000000000000001E-2</v>
      </c>
      <c r="AC101" s="882">
        <v>2.5999999999999999E-2</v>
      </c>
      <c r="AD101" s="550">
        <v>2.5999999999999999E-2</v>
      </c>
      <c r="AE101" s="1053">
        <v>2.7E-2</v>
      </c>
      <c r="AF101" s="803">
        <v>2.7E-2</v>
      </c>
      <c r="AG101" s="508">
        <v>2.8000000000000001E-2</v>
      </c>
      <c r="AH101" s="812">
        <v>2.8000000000000001E-2</v>
      </c>
      <c r="AI101" s="883">
        <v>2.9000000000000001E-2</v>
      </c>
      <c r="AJ101" s="1056">
        <v>0.03</v>
      </c>
      <c r="AK101" s="542">
        <v>0.03</v>
      </c>
      <c r="AL101" s="585">
        <v>3.1E-2</v>
      </c>
      <c r="AM101" s="586">
        <v>3.1E-2</v>
      </c>
      <c r="AN101" s="1057">
        <v>3.2000000000000001E-2</v>
      </c>
      <c r="AO101" s="260"/>
      <c r="AP101" s="260"/>
      <c r="AQ101" s="269" t="s">
        <v>6</v>
      </c>
      <c r="AR101" s="270">
        <v>295355340</v>
      </c>
      <c r="AS101" s="270">
        <v>30753929</v>
      </c>
      <c r="AT101" s="500">
        <v>2.1999999999999999E-2</v>
      </c>
      <c r="AU101" s="1049">
        <v>2.3E-2</v>
      </c>
      <c r="AV101" s="893">
        <v>2.3E-2</v>
      </c>
      <c r="AW101" s="1051">
        <v>2.4E-2</v>
      </c>
      <c r="AX101" s="1052">
        <v>2.5000000000000001E-2</v>
      </c>
      <c r="AY101" s="498">
        <v>2.5000000000000001E-2</v>
      </c>
      <c r="AZ101" s="803">
        <v>2.5999999999999999E-2</v>
      </c>
      <c r="BA101" s="508">
        <v>2.5999999999999999E-2</v>
      </c>
      <c r="BB101" s="812">
        <v>2.7E-2</v>
      </c>
      <c r="BC101" s="883">
        <v>2.8000000000000001E-2</v>
      </c>
      <c r="BD101" s="584">
        <v>2.8000000000000001E-2</v>
      </c>
      <c r="BE101" s="497">
        <v>2.9000000000000001E-2</v>
      </c>
      <c r="BF101" s="507">
        <v>0.03</v>
      </c>
      <c r="BG101" s="814">
        <v>0.03</v>
      </c>
      <c r="BH101" s="515">
        <v>3.1E-2</v>
      </c>
      <c r="BI101" s="1058">
        <v>3.2000000000000001E-2</v>
      </c>
      <c r="BJ101" s="260"/>
      <c r="BK101" s="260"/>
      <c r="BL101" s="269" t="s">
        <v>6</v>
      </c>
      <c r="BM101" s="270">
        <v>295355340</v>
      </c>
      <c r="BN101" s="270">
        <v>30753929</v>
      </c>
      <c r="BO101" s="500">
        <v>1.9E-2</v>
      </c>
      <c r="BP101" s="866">
        <v>0.02</v>
      </c>
      <c r="BQ101" s="1050">
        <v>0.02</v>
      </c>
      <c r="BR101" s="1052">
        <v>2.1000000000000001E-2</v>
      </c>
      <c r="BS101" s="498">
        <v>2.1999999999999999E-2</v>
      </c>
      <c r="BT101" s="809">
        <v>2.3E-2</v>
      </c>
      <c r="BU101" s="1054">
        <v>2.4E-2</v>
      </c>
      <c r="BV101" s="883">
        <v>2.4E-2</v>
      </c>
      <c r="BW101" s="862">
        <v>2.5000000000000001E-2</v>
      </c>
      <c r="BX101" s="497">
        <v>2.5999999999999999E-2</v>
      </c>
      <c r="BY101" s="586">
        <v>2.7E-2</v>
      </c>
      <c r="BZ101" s="620">
        <v>2.8000000000000001E-2</v>
      </c>
      <c r="CA101" s="816">
        <v>2.9000000000000001E-2</v>
      </c>
      <c r="CB101" s="557">
        <v>0.03</v>
      </c>
      <c r="CC101" s="556">
        <v>3.1E-2</v>
      </c>
      <c r="CD101" s="871">
        <v>3.2000000000000001E-2</v>
      </c>
    </row>
    <row r="102" spans="1:82" x14ac:dyDescent="0.2">
      <c r="A102" s="260"/>
      <c r="B102" s="269" t="s">
        <v>7</v>
      </c>
      <c r="C102" s="270">
        <v>328852284</v>
      </c>
      <c r="D102" s="270">
        <v>133280716</v>
      </c>
      <c r="E102" s="554">
        <v>6.5000000000000002E-2</v>
      </c>
      <c r="F102" s="519">
        <v>6.5000000000000002E-2</v>
      </c>
      <c r="G102" s="501">
        <v>6.4000000000000001E-2</v>
      </c>
      <c r="H102" s="532">
        <v>6.4000000000000001E-2</v>
      </c>
      <c r="I102" s="520">
        <v>6.3E-2</v>
      </c>
      <c r="J102" s="533">
        <v>6.3E-2</v>
      </c>
      <c r="K102" s="490">
        <v>6.3E-2</v>
      </c>
      <c r="L102" s="509">
        <v>6.2E-2</v>
      </c>
      <c r="M102" s="534">
        <v>6.2E-2</v>
      </c>
      <c r="N102" s="510">
        <v>6.2E-2</v>
      </c>
      <c r="O102" s="511">
        <v>6.0999999999999999E-2</v>
      </c>
      <c r="P102" s="511">
        <v>6.0999999999999999E-2</v>
      </c>
      <c r="Q102" s="491">
        <v>6.0999999999999999E-2</v>
      </c>
      <c r="R102" s="502">
        <v>0.06</v>
      </c>
      <c r="S102" s="535">
        <v>0.06</v>
      </c>
      <c r="T102" s="1031">
        <v>0.06</v>
      </c>
      <c r="U102" s="260"/>
      <c r="V102" s="269" t="s">
        <v>7</v>
      </c>
      <c r="W102" s="270">
        <v>328852284</v>
      </c>
      <c r="X102" s="270">
        <v>133280716</v>
      </c>
      <c r="Y102" s="518">
        <v>6.9000000000000006E-2</v>
      </c>
      <c r="Z102" s="524">
        <v>6.8000000000000005E-2</v>
      </c>
      <c r="AA102" s="519">
        <v>6.7000000000000004E-2</v>
      </c>
      <c r="AB102" s="501">
        <v>6.7000000000000004E-2</v>
      </c>
      <c r="AC102" s="532">
        <v>6.6000000000000003E-2</v>
      </c>
      <c r="AD102" s="520">
        <v>6.5000000000000002E-2</v>
      </c>
      <c r="AE102" s="533">
        <v>6.5000000000000002E-2</v>
      </c>
      <c r="AF102" s="490">
        <v>6.4000000000000001E-2</v>
      </c>
      <c r="AG102" s="534">
        <v>6.4000000000000001E-2</v>
      </c>
      <c r="AH102" s="510">
        <v>6.3E-2</v>
      </c>
      <c r="AI102" s="511">
        <v>6.3E-2</v>
      </c>
      <c r="AJ102" s="491">
        <v>6.2E-2</v>
      </c>
      <c r="AK102" s="502">
        <v>6.2E-2</v>
      </c>
      <c r="AL102" s="535">
        <v>6.0999999999999999E-2</v>
      </c>
      <c r="AM102" s="583">
        <v>6.0999999999999999E-2</v>
      </c>
      <c r="AN102" s="863">
        <v>0.06</v>
      </c>
      <c r="AO102" s="260"/>
      <c r="AP102" s="260"/>
      <c r="AQ102" s="269" t="s">
        <v>7</v>
      </c>
      <c r="AR102" s="270">
        <v>328852284</v>
      </c>
      <c r="AS102" s="270">
        <v>133280716</v>
      </c>
      <c r="AT102" s="561">
        <v>7.0000000000000007E-2</v>
      </c>
      <c r="AU102" s="524">
        <v>6.9000000000000006E-2</v>
      </c>
      <c r="AV102" s="554">
        <v>6.8000000000000005E-2</v>
      </c>
      <c r="AW102" s="519">
        <v>6.7000000000000004E-2</v>
      </c>
      <c r="AX102" s="532">
        <v>6.7000000000000004E-2</v>
      </c>
      <c r="AY102" s="520">
        <v>6.6000000000000003E-2</v>
      </c>
      <c r="AZ102" s="533">
        <v>6.5000000000000002E-2</v>
      </c>
      <c r="BA102" s="490">
        <v>6.5000000000000002E-2</v>
      </c>
      <c r="BB102" s="534">
        <v>6.4000000000000001E-2</v>
      </c>
      <c r="BC102" s="510">
        <v>6.3E-2</v>
      </c>
      <c r="BD102" s="511">
        <v>6.3E-2</v>
      </c>
      <c r="BE102" s="491">
        <v>6.2E-2</v>
      </c>
      <c r="BF102" s="502">
        <v>6.2E-2</v>
      </c>
      <c r="BG102" s="851">
        <v>6.0999999999999999E-2</v>
      </c>
      <c r="BH102" s="583">
        <v>6.0999999999999999E-2</v>
      </c>
      <c r="BI102" s="1059">
        <v>6.0999999999999999E-2</v>
      </c>
      <c r="BJ102" s="260"/>
      <c r="BK102" s="260"/>
      <c r="BL102" s="269" t="s">
        <v>7</v>
      </c>
      <c r="BM102" s="270">
        <v>328852284</v>
      </c>
      <c r="BN102" s="270">
        <v>133280716</v>
      </c>
      <c r="BO102" s="571">
        <v>7.1999999999999995E-2</v>
      </c>
      <c r="BP102" s="561">
        <v>7.0999999999999994E-2</v>
      </c>
      <c r="BQ102" s="524">
        <v>7.0000000000000007E-2</v>
      </c>
      <c r="BR102" s="519">
        <v>6.9000000000000006E-2</v>
      </c>
      <c r="BS102" s="501">
        <v>6.8000000000000005E-2</v>
      </c>
      <c r="BT102" s="532">
        <v>6.7000000000000004E-2</v>
      </c>
      <c r="BU102" s="533">
        <v>6.6000000000000003E-2</v>
      </c>
      <c r="BV102" s="490">
        <v>6.6000000000000003E-2</v>
      </c>
      <c r="BW102" s="509">
        <v>6.5000000000000002E-2</v>
      </c>
      <c r="BX102" s="510">
        <v>6.4000000000000001E-2</v>
      </c>
      <c r="BY102" s="511">
        <v>6.4000000000000001E-2</v>
      </c>
      <c r="BZ102" s="491">
        <v>6.3E-2</v>
      </c>
      <c r="CA102" s="502">
        <v>6.2E-2</v>
      </c>
      <c r="CB102" s="851">
        <v>6.2E-2</v>
      </c>
      <c r="CC102" s="886">
        <v>6.0999999999999999E-2</v>
      </c>
      <c r="CD102" s="1060">
        <v>6.0999999999999999E-2</v>
      </c>
    </row>
    <row r="103" spans="1:82" x14ac:dyDescent="0.2">
      <c r="A103" s="260"/>
      <c r="B103" s="269" t="s">
        <v>8</v>
      </c>
      <c r="C103" s="270">
        <v>910487339</v>
      </c>
      <c r="D103" s="270">
        <v>321724914</v>
      </c>
      <c r="E103" s="506">
        <v>4.3999999999999997E-2</v>
      </c>
      <c r="F103" s="495">
        <v>4.3999999999999997E-2</v>
      </c>
      <c r="G103" s="869">
        <v>4.3999999999999997E-2</v>
      </c>
      <c r="H103" s="619">
        <v>4.4999999999999998E-2</v>
      </c>
      <c r="I103" s="549">
        <v>4.4999999999999998E-2</v>
      </c>
      <c r="J103" s="627">
        <v>4.4999999999999998E-2</v>
      </c>
      <c r="K103" s="598">
        <v>4.5999999999999999E-2</v>
      </c>
      <c r="L103" s="541">
        <v>4.5999999999999999E-2</v>
      </c>
      <c r="M103" s="573">
        <v>4.5999999999999999E-2</v>
      </c>
      <c r="N103" s="601">
        <v>4.5999999999999999E-2</v>
      </c>
      <c r="O103" s="804">
        <v>4.7E-2</v>
      </c>
      <c r="P103" s="639">
        <v>4.7E-2</v>
      </c>
      <c r="Q103" s="829">
        <v>4.7E-2</v>
      </c>
      <c r="R103" s="599">
        <v>4.8000000000000001E-2</v>
      </c>
      <c r="S103" s="846">
        <v>4.8000000000000001E-2</v>
      </c>
      <c r="T103" s="1061">
        <v>4.8000000000000001E-2</v>
      </c>
      <c r="U103" s="260"/>
      <c r="V103" s="269" t="s">
        <v>8</v>
      </c>
      <c r="W103" s="270">
        <v>910487339</v>
      </c>
      <c r="X103" s="270">
        <v>321724914</v>
      </c>
      <c r="Y103" s="513">
        <v>4.2000000000000003E-2</v>
      </c>
      <c r="Z103" s="619">
        <v>4.2999999999999997E-2</v>
      </c>
      <c r="AA103" s="549">
        <v>4.2999999999999997E-2</v>
      </c>
      <c r="AB103" s="598">
        <v>4.3999999999999997E-2</v>
      </c>
      <c r="AC103" s="541">
        <v>4.3999999999999997E-2</v>
      </c>
      <c r="AD103" s="573">
        <v>4.3999999999999997E-2</v>
      </c>
      <c r="AE103" s="601">
        <v>4.4999999999999998E-2</v>
      </c>
      <c r="AF103" s="804">
        <v>4.4999999999999998E-2</v>
      </c>
      <c r="AG103" s="1062">
        <v>4.5999999999999999E-2</v>
      </c>
      <c r="AH103" s="603">
        <v>4.5999999999999999E-2</v>
      </c>
      <c r="AI103" s="846">
        <v>4.5999999999999999E-2</v>
      </c>
      <c r="AJ103" s="505">
        <v>4.7E-2</v>
      </c>
      <c r="AK103" s="536">
        <v>4.7E-2</v>
      </c>
      <c r="AL103" s="834">
        <v>4.8000000000000001E-2</v>
      </c>
      <c r="AM103" s="1007">
        <v>4.8000000000000001E-2</v>
      </c>
      <c r="AN103" s="1063">
        <v>4.9000000000000002E-2</v>
      </c>
      <c r="AO103" s="260"/>
      <c r="AP103" s="260"/>
      <c r="AQ103" s="269" t="s">
        <v>8</v>
      </c>
      <c r="AR103" s="270">
        <v>910487339</v>
      </c>
      <c r="AS103" s="270">
        <v>321724914</v>
      </c>
      <c r="AT103" s="869">
        <v>4.2000000000000003E-2</v>
      </c>
      <c r="AU103" s="549">
        <v>4.2000000000000003E-2</v>
      </c>
      <c r="AV103" s="627">
        <v>4.2999999999999997E-2</v>
      </c>
      <c r="AW103" s="541">
        <v>4.2999999999999997E-2</v>
      </c>
      <c r="AX103" s="573">
        <v>4.3999999999999997E-2</v>
      </c>
      <c r="AY103" s="601">
        <v>4.3999999999999997E-2</v>
      </c>
      <c r="AZ103" s="804">
        <v>4.4999999999999998E-2</v>
      </c>
      <c r="BA103" s="1062">
        <v>4.4999999999999998E-2</v>
      </c>
      <c r="BB103" s="603">
        <v>4.5999999999999999E-2</v>
      </c>
      <c r="BC103" s="846">
        <v>4.5999999999999999E-2</v>
      </c>
      <c r="BD103" s="505">
        <v>4.5999999999999999E-2</v>
      </c>
      <c r="BE103" s="494">
        <v>4.7E-2</v>
      </c>
      <c r="BF103" s="834">
        <v>4.7E-2</v>
      </c>
      <c r="BG103" s="609">
        <v>4.8000000000000001E-2</v>
      </c>
      <c r="BH103" s="600">
        <v>4.8000000000000001E-2</v>
      </c>
      <c r="BI103" s="1064">
        <v>4.9000000000000002E-2</v>
      </c>
      <c r="BJ103" s="260"/>
      <c r="BK103" s="260"/>
      <c r="BL103" s="269" t="s">
        <v>8</v>
      </c>
      <c r="BM103" s="270">
        <v>910487339</v>
      </c>
      <c r="BN103" s="270">
        <v>321724914</v>
      </c>
      <c r="BO103" s="549">
        <v>4.1000000000000002E-2</v>
      </c>
      <c r="BP103" s="627">
        <v>4.1000000000000002E-2</v>
      </c>
      <c r="BQ103" s="541">
        <v>4.2000000000000003E-2</v>
      </c>
      <c r="BR103" s="634">
        <v>4.2999999999999997E-2</v>
      </c>
      <c r="BS103" s="601">
        <v>4.2999999999999997E-2</v>
      </c>
      <c r="BT103" s="639">
        <v>4.3999999999999997E-2</v>
      </c>
      <c r="BU103" s="603">
        <v>4.3999999999999997E-2</v>
      </c>
      <c r="BV103" s="599">
        <v>4.4999999999999998E-2</v>
      </c>
      <c r="BW103" s="505">
        <v>4.4999999999999998E-2</v>
      </c>
      <c r="BX103" s="494">
        <v>4.5999999999999999E-2</v>
      </c>
      <c r="BY103" s="834">
        <v>4.5999999999999999E-2</v>
      </c>
      <c r="BZ103" s="1002">
        <v>4.7E-2</v>
      </c>
      <c r="CA103" s="605">
        <v>4.8000000000000001E-2</v>
      </c>
      <c r="CB103" s="630">
        <v>4.8000000000000001E-2</v>
      </c>
      <c r="CC103" s="1004">
        <v>4.9000000000000002E-2</v>
      </c>
      <c r="CD103" s="1065">
        <v>4.9000000000000002E-2</v>
      </c>
    </row>
    <row r="104" spans="1:82" x14ac:dyDescent="0.2">
      <c r="A104" s="260"/>
      <c r="B104" s="269" t="s">
        <v>9</v>
      </c>
      <c r="C104" s="270">
        <v>92705417</v>
      </c>
      <c r="D104" s="270">
        <v>27802728</v>
      </c>
      <c r="E104" s="811">
        <v>7.4999999999999997E-2</v>
      </c>
      <c r="F104" s="579">
        <v>7.2999999999999995E-2</v>
      </c>
      <c r="G104" s="566">
        <v>7.0999999999999994E-2</v>
      </c>
      <c r="H104" s="559">
        <v>6.9000000000000006E-2</v>
      </c>
      <c r="I104" s="517">
        <v>6.8000000000000005E-2</v>
      </c>
      <c r="J104" s="561">
        <v>6.6000000000000003E-2</v>
      </c>
      <c r="K104" s="519">
        <v>6.5000000000000002E-2</v>
      </c>
      <c r="L104" s="520">
        <v>6.3E-2</v>
      </c>
      <c r="M104" s="534">
        <v>6.2E-2</v>
      </c>
      <c r="N104" s="491">
        <v>6.0999999999999999E-2</v>
      </c>
      <c r="O104" s="890">
        <v>5.8999999999999997E-2</v>
      </c>
      <c r="P104" s="638">
        <v>5.8000000000000003E-2</v>
      </c>
      <c r="Q104" s="880">
        <v>5.7000000000000002E-2</v>
      </c>
      <c r="R104" s="845">
        <v>5.6000000000000001E-2</v>
      </c>
      <c r="S104" s="611">
        <v>5.5E-2</v>
      </c>
      <c r="T104" s="1066">
        <v>5.3999999999999999E-2</v>
      </c>
      <c r="U104" s="260"/>
      <c r="V104" s="269" t="s">
        <v>9</v>
      </c>
      <c r="W104" s="270">
        <v>92705417</v>
      </c>
      <c r="X104" s="270">
        <v>27802728</v>
      </c>
      <c r="Y104" s="569">
        <v>8.1000000000000003E-2</v>
      </c>
      <c r="Z104" s="539">
        <v>7.8E-2</v>
      </c>
      <c r="AA104" s="838">
        <v>7.4999999999999997E-2</v>
      </c>
      <c r="AB104" s="559">
        <v>7.2999999999999995E-2</v>
      </c>
      <c r="AC104" s="553">
        <v>7.0000000000000007E-2</v>
      </c>
      <c r="AD104" s="524">
        <v>6.8000000000000005E-2</v>
      </c>
      <c r="AE104" s="501">
        <v>6.6000000000000003E-2</v>
      </c>
      <c r="AF104" s="490">
        <v>6.4000000000000001E-2</v>
      </c>
      <c r="AG104" s="511">
        <v>6.2E-2</v>
      </c>
      <c r="AH104" s="583">
        <v>6.0999999999999999E-2</v>
      </c>
      <c r="AI104" s="807">
        <v>5.8999999999999997E-2</v>
      </c>
      <c r="AJ104" s="617">
        <v>5.8000000000000003E-2</v>
      </c>
      <c r="AK104" s="845">
        <v>5.6000000000000001E-2</v>
      </c>
      <c r="AL104" s="611">
        <v>5.5E-2</v>
      </c>
      <c r="AM104" s="881">
        <v>5.2999999999999999E-2</v>
      </c>
      <c r="AN104" s="1067">
        <v>5.1999999999999998E-2</v>
      </c>
      <c r="AO104" s="260"/>
      <c r="AP104" s="260"/>
      <c r="AQ104" s="269" t="s">
        <v>9</v>
      </c>
      <c r="AR104" s="270">
        <v>92705417</v>
      </c>
      <c r="AS104" s="270">
        <v>27802728</v>
      </c>
      <c r="AT104" s="569">
        <v>8.3000000000000004E-2</v>
      </c>
      <c r="AU104" s="539">
        <v>0.08</v>
      </c>
      <c r="AV104" s="838">
        <v>7.6999999999999999E-2</v>
      </c>
      <c r="AW104" s="559">
        <v>7.3999999999999996E-2</v>
      </c>
      <c r="AX104" s="553">
        <v>7.0999999999999994E-2</v>
      </c>
      <c r="AY104" s="524">
        <v>6.9000000000000006E-2</v>
      </c>
      <c r="AZ104" s="532">
        <v>6.7000000000000004E-2</v>
      </c>
      <c r="BA104" s="509">
        <v>6.4000000000000001E-2</v>
      </c>
      <c r="BB104" s="491">
        <v>6.2E-2</v>
      </c>
      <c r="BC104" s="886">
        <v>6.0999999999999999E-2</v>
      </c>
      <c r="BD104" s="616">
        <v>5.8999999999999997E-2</v>
      </c>
      <c r="BE104" s="612">
        <v>5.7000000000000002E-2</v>
      </c>
      <c r="BF104" s="607">
        <v>5.6000000000000001E-2</v>
      </c>
      <c r="BG104" s="548">
        <v>5.3999999999999999E-2</v>
      </c>
      <c r="BH104" s="889">
        <v>5.2999999999999999E-2</v>
      </c>
      <c r="BI104" s="1068">
        <v>5.0999999999999997E-2</v>
      </c>
      <c r="BJ104" s="260"/>
      <c r="BK104" s="260"/>
      <c r="BL104" s="269" t="s">
        <v>9</v>
      </c>
      <c r="BM104" s="270">
        <v>92705417</v>
      </c>
      <c r="BN104" s="270">
        <v>27802728</v>
      </c>
      <c r="BO104" s="563">
        <v>8.7999999999999995E-2</v>
      </c>
      <c r="BP104" s="837">
        <v>8.3000000000000004E-2</v>
      </c>
      <c r="BQ104" s="838">
        <v>7.9000000000000001E-2</v>
      </c>
      <c r="BR104" s="527">
        <v>7.5999999999999998E-2</v>
      </c>
      <c r="BS104" s="553">
        <v>7.2999999999999995E-2</v>
      </c>
      <c r="BT104" s="554">
        <v>7.0000000000000007E-2</v>
      </c>
      <c r="BU104" s="520">
        <v>6.7000000000000004E-2</v>
      </c>
      <c r="BV104" s="534">
        <v>6.5000000000000002E-2</v>
      </c>
      <c r="BW104" s="502">
        <v>6.2E-2</v>
      </c>
      <c r="BX104" s="613">
        <v>0.06</v>
      </c>
      <c r="BY104" s="572">
        <v>5.8000000000000003E-2</v>
      </c>
      <c r="BZ104" s="503">
        <v>5.7000000000000002E-2</v>
      </c>
      <c r="CA104" s="637">
        <v>5.5E-2</v>
      </c>
      <c r="CB104" s="604">
        <v>5.2999999999999999E-2</v>
      </c>
      <c r="CC104" s="808">
        <v>5.1999999999999998E-2</v>
      </c>
      <c r="CD104" s="1069">
        <v>0.05</v>
      </c>
    </row>
    <row r="105" spans="1:82" x14ac:dyDescent="0.2">
      <c r="A105" s="260"/>
      <c r="B105" s="269" t="s">
        <v>10</v>
      </c>
      <c r="C105" s="270">
        <v>1243404656</v>
      </c>
      <c r="D105" s="270">
        <v>110876434</v>
      </c>
      <c r="E105" s="1050">
        <v>0.03</v>
      </c>
      <c r="F105" s="882">
        <v>3.1E-2</v>
      </c>
      <c r="G105" s="1052">
        <v>3.1E-2</v>
      </c>
      <c r="H105" s="1052">
        <v>3.1E-2</v>
      </c>
      <c r="I105" s="550">
        <v>3.1E-2</v>
      </c>
      <c r="J105" s="498">
        <v>3.1E-2</v>
      </c>
      <c r="K105" s="1053">
        <v>3.2000000000000001E-2</v>
      </c>
      <c r="L105" s="803">
        <v>3.2000000000000001E-2</v>
      </c>
      <c r="M105" s="809">
        <v>3.2000000000000001E-2</v>
      </c>
      <c r="N105" s="508">
        <v>3.2000000000000001E-2</v>
      </c>
      <c r="O105" s="1054">
        <v>3.3000000000000002E-2</v>
      </c>
      <c r="P105" s="1070">
        <v>3.3000000000000002E-2</v>
      </c>
      <c r="Q105" s="883">
        <v>3.3000000000000002E-2</v>
      </c>
      <c r="R105" s="806">
        <v>3.4000000000000002E-2</v>
      </c>
      <c r="S105" s="862">
        <v>3.4000000000000002E-2</v>
      </c>
      <c r="T105" s="1071">
        <v>3.4000000000000002E-2</v>
      </c>
      <c r="U105" s="260"/>
      <c r="V105" s="269" t="s">
        <v>10</v>
      </c>
      <c r="W105" s="270">
        <v>1243404656</v>
      </c>
      <c r="X105" s="270">
        <v>110876434</v>
      </c>
      <c r="Y105" s="1050">
        <v>2.5999999999999999E-2</v>
      </c>
      <c r="Z105" s="882">
        <v>2.5999999999999999E-2</v>
      </c>
      <c r="AA105" s="550">
        <v>2.5999999999999999E-2</v>
      </c>
      <c r="AB105" s="498">
        <v>2.7E-2</v>
      </c>
      <c r="AC105" s="1053">
        <v>2.7E-2</v>
      </c>
      <c r="AD105" s="809">
        <v>2.7E-2</v>
      </c>
      <c r="AE105" s="508">
        <v>2.8000000000000001E-2</v>
      </c>
      <c r="AF105" s="812">
        <v>2.8000000000000001E-2</v>
      </c>
      <c r="AG105" s="1072">
        <v>2.9000000000000001E-2</v>
      </c>
      <c r="AH105" s="806">
        <v>2.9000000000000001E-2</v>
      </c>
      <c r="AI105" s="584">
        <v>0.03</v>
      </c>
      <c r="AJ105" s="497">
        <v>0.03</v>
      </c>
      <c r="AK105" s="585">
        <v>3.1E-2</v>
      </c>
      <c r="AL105" s="586">
        <v>3.1E-2</v>
      </c>
      <c r="AM105" s="620">
        <v>3.2000000000000001E-2</v>
      </c>
      <c r="AN105" s="1073">
        <v>3.3000000000000002E-2</v>
      </c>
      <c r="AO105" s="260"/>
      <c r="AP105" s="260"/>
      <c r="AQ105" s="269" t="s">
        <v>10</v>
      </c>
      <c r="AR105" s="270">
        <v>1243404656</v>
      </c>
      <c r="AS105" s="270">
        <v>110876434</v>
      </c>
      <c r="AT105" s="1050">
        <v>2.4E-2</v>
      </c>
      <c r="AU105" s="1052">
        <v>2.4E-2</v>
      </c>
      <c r="AV105" s="550">
        <v>2.5000000000000001E-2</v>
      </c>
      <c r="AW105" s="498">
        <v>2.5000000000000001E-2</v>
      </c>
      <c r="AX105" s="803">
        <v>2.5999999999999999E-2</v>
      </c>
      <c r="AY105" s="508">
        <v>2.5999999999999999E-2</v>
      </c>
      <c r="AZ105" s="1054">
        <v>2.7E-2</v>
      </c>
      <c r="BA105" s="1070">
        <v>2.7E-2</v>
      </c>
      <c r="BB105" s="806">
        <v>2.8000000000000001E-2</v>
      </c>
      <c r="BC105" s="584">
        <v>2.8000000000000001E-2</v>
      </c>
      <c r="BD105" s="497">
        <v>2.9000000000000001E-2</v>
      </c>
      <c r="BE105" s="507">
        <v>0.03</v>
      </c>
      <c r="BF105" s="814">
        <v>0.03</v>
      </c>
      <c r="BG105" s="499">
        <v>3.1E-2</v>
      </c>
      <c r="BH105" s="816">
        <v>3.1E-2</v>
      </c>
      <c r="BI105" s="1074">
        <v>3.2000000000000001E-2</v>
      </c>
      <c r="BJ105" s="260"/>
      <c r="BK105" s="260"/>
      <c r="BL105" s="269" t="s">
        <v>10</v>
      </c>
      <c r="BM105" s="270">
        <v>1243404656</v>
      </c>
      <c r="BN105" s="270">
        <v>110876434</v>
      </c>
      <c r="BO105" s="1050">
        <v>2.1000000000000001E-2</v>
      </c>
      <c r="BP105" s="1052">
        <v>2.1000000000000001E-2</v>
      </c>
      <c r="BQ105" s="498">
        <v>2.1999999999999999E-2</v>
      </c>
      <c r="BR105" s="854">
        <v>2.1999999999999999E-2</v>
      </c>
      <c r="BS105" s="809">
        <v>2.3E-2</v>
      </c>
      <c r="BT105" s="1054">
        <v>2.4E-2</v>
      </c>
      <c r="BU105" s="1072">
        <v>2.4E-2</v>
      </c>
      <c r="BV105" s="1056">
        <v>2.5000000000000001E-2</v>
      </c>
      <c r="BW105" s="542">
        <v>2.5999999999999999E-2</v>
      </c>
      <c r="BX105" s="585">
        <v>2.7E-2</v>
      </c>
      <c r="BY105" s="586">
        <v>2.7E-2</v>
      </c>
      <c r="BZ105" s="499">
        <v>2.8000000000000001E-2</v>
      </c>
      <c r="CA105" s="816">
        <v>2.9000000000000001E-2</v>
      </c>
      <c r="CB105" s="557">
        <v>0.03</v>
      </c>
      <c r="CC105" s="631">
        <v>3.1E-2</v>
      </c>
      <c r="CD105" s="1075">
        <v>3.2000000000000001E-2</v>
      </c>
    </row>
    <row r="106" spans="1:82" x14ac:dyDescent="0.2">
      <c r="A106" s="260"/>
      <c r="B106" s="269" t="s">
        <v>11</v>
      </c>
      <c r="C106" s="270">
        <v>195405555</v>
      </c>
      <c r="D106" s="270">
        <v>75892247</v>
      </c>
      <c r="E106" s="501">
        <v>6.4000000000000001E-2</v>
      </c>
      <c r="F106" s="532">
        <v>6.4000000000000001E-2</v>
      </c>
      <c r="G106" s="520">
        <v>6.3E-2</v>
      </c>
      <c r="H106" s="490">
        <v>6.3E-2</v>
      </c>
      <c r="I106" s="509">
        <v>6.2E-2</v>
      </c>
      <c r="J106" s="510">
        <v>6.0999999999999999E-2</v>
      </c>
      <c r="K106" s="511">
        <v>6.0999999999999999E-2</v>
      </c>
      <c r="L106" s="502">
        <v>6.0999999999999999E-2</v>
      </c>
      <c r="M106" s="535">
        <v>0.06</v>
      </c>
      <c r="N106" s="583">
        <v>0.06</v>
      </c>
      <c r="O106" s="636">
        <v>5.8999999999999997E-2</v>
      </c>
      <c r="P106" s="878">
        <v>5.8999999999999997E-2</v>
      </c>
      <c r="Q106" s="807">
        <v>5.8000000000000003E-2</v>
      </c>
      <c r="R106" s="521">
        <v>5.8000000000000003E-2</v>
      </c>
      <c r="S106" s="572">
        <v>5.7000000000000002E-2</v>
      </c>
      <c r="T106" s="1076">
        <v>5.7000000000000002E-2</v>
      </c>
      <c r="U106" s="260"/>
      <c r="V106" s="269" t="s">
        <v>11</v>
      </c>
      <c r="W106" s="270">
        <v>195405555</v>
      </c>
      <c r="X106" s="270">
        <v>75892247</v>
      </c>
      <c r="Y106" s="524">
        <v>6.8000000000000005E-2</v>
      </c>
      <c r="Z106" s="519">
        <v>6.7000000000000004E-2</v>
      </c>
      <c r="AA106" s="532">
        <v>6.6000000000000003E-2</v>
      </c>
      <c r="AB106" s="520">
        <v>6.5000000000000002E-2</v>
      </c>
      <c r="AC106" s="490">
        <v>6.4000000000000001E-2</v>
      </c>
      <c r="AD106" s="534">
        <v>6.4000000000000001E-2</v>
      </c>
      <c r="AE106" s="511">
        <v>6.3E-2</v>
      </c>
      <c r="AF106" s="491">
        <v>6.2E-2</v>
      </c>
      <c r="AG106" s="535">
        <v>6.0999999999999999E-2</v>
      </c>
      <c r="AH106" s="583">
        <v>6.0999999999999999E-2</v>
      </c>
      <c r="AI106" s="613">
        <v>0.06</v>
      </c>
      <c r="AJ106" s="1009">
        <v>5.8999999999999997E-2</v>
      </c>
      <c r="AK106" s="638">
        <v>5.8999999999999997E-2</v>
      </c>
      <c r="AL106" s="572">
        <v>5.8000000000000003E-2</v>
      </c>
      <c r="AM106" s="617">
        <v>5.8000000000000003E-2</v>
      </c>
      <c r="AN106" s="1077">
        <v>5.7000000000000002E-2</v>
      </c>
      <c r="AO106" s="260"/>
      <c r="AP106" s="260"/>
      <c r="AQ106" s="269" t="s">
        <v>11</v>
      </c>
      <c r="AR106" s="270">
        <v>195405555</v>
      </c>
      <c r="AS106" s="270">
        <v>75892247</v>
      </c>
      <c r="AT106" s="524">
        <v>6.9000000000000006E-2</v>
      </c>
      <c r="AU106" s="519">
        <v>6.8000000000000005E-2</v>
      </c>
      <c r="AV106" s="501">
        <v>6.7000000000000004E-2</v>
      </c>
      <c r="AW106" s="520">
        <v>6.6000000000000003E-2</v>
      </c>
      <c r="AX106" s="490">
        <v>6.5000000000000002E-2</v>
      </c>
      <c r="AY106" s="534">
        <v>6.4000000000000001E-2</v>
      </c>
      <c r="AZ106" s="511">
        <v>6.3E-2</v>
      </c>
      <c r="BA106" s="491">
        <v>6.2E-2</v>
      </c>
      <c r="BB106" s="535">
        <v>6.2E-2</v>
      </c>
      <c r="BC106" s="583">
        <v>6.0999999999999999E-2</v>
      </c>
      <c r="BD106" s="613">
        <v>0.06</v>
      </c>
      <c r="BE106" s="1009">
        <v>0.06</v>
      </c>
      <c r="BF106" s="616">
        <v>5.8999999999999997E-2</v>
      </c>
      <c r="BG106" s="572">
        <v>5.8000000000000003E-2</v>
      </c>
      <c r="BH106" s="617">
        <v>5.8000000000000003E-2</v>
      </c>
      <c r="BI106" s="1078">
        <v>5.7000000000000002E-2</v>
      </c>
      <c r="BJ106" s="260"/>
      <c r="BK106" s="260"/>
      <c r="BL106" s="269" t="s">
        <v>11</v>
      </c>
      <c r="BM106" s="270">
        <v>195405555</v>
      </c>
      <c r="BN106" s="270">
        <v>75892247</v>
      </c>
      <c r="BO106" s="561">
        <v>7.0999999999999994E-2</v>
      </c>
      <c r="BP106" s="524">
        <v>7.0000000000000007E-2</v>
      </c>
      <c r="BQ106" s="519">
        <v>6.9000000000000006E-2</v>
      </c>
      <c r="BR106" s="532">
        <v>6.7000000000000004E-2</v>
      </c>
      <c r="BS106" s="533">
        <v>6.6000000000000003E-2</v>
      </c>
      <c r="BT106" s="490">
        <v>6.5000000000000002E-2</v>
      </c>
      <c r="BU106" s="510">
        <v>6.4000000000000001E-2</v>
      </c>
      <c r="BV106" s="491">
        <v>6.3E-2</v>
      </c>
      <c r="BW106" s="502">
        <v>6.2E-2</v>
      </c>
      <c r="BX106" s="583">
        <v>6.0999999999999999E-2</v>
      </c>
      <c r="BY106" s="636">
        <v>6.0999999999999999E-2</v>
      </c>
      <c r="BZ106" s="1009">
        <v>0.06</v>
      </c>
      <c r="CA106" s="616">
        <v>5.8999999999999997E-2</v>
      </c>
      <c r="CB106" s="492">
        <v>5.8000000000000003E-2</v>
      </c>
      <c r="CC106" s="880">
        <v>5.7000000000000002E-2</v>
      </c>
      <c r="CD106" s="1078">
        <v>5.7000000000000002E-2</v>
      </c>
    </row>
    <row r="107" spans="1:82" x14ac:dyDescent="0.2">
      <c r="A107" s="260"/>
      <c r="B107" s="459" t="s">
        <v>14</v>
      </c>
      <c r="C107" s="460">
        <v>4467075685</v>
      </c>
      <c r="D107" s="460">
        <v>1365370426</v>
      </c>
      <c r="E107" s="641">
        <v>0.05</v>
      </c>
      <c r="F107" s="472">
        <v>0.05</v>
      </c>
      <c r="G107" s="472">
        <v>0.05</v>
      </c>
      <c r="H107" s="472">
        <v>0.05</v>
      </c>
      <c r="I107" s="472">
        <v>0.05</v>
      </c>
      <c r="J107" s="472">
        <v>0.05</v>
      </c>
      <c r="K107" s="472">
        <v>0.05</v>
      </c>
      <c r="L107" s="472">
        <v>0.05</v>
      </c>
      <c r="M107" s="472">
        <v>0.05</v>
      </c>
      <c r="N107" s="472">
        <v>0.05</v>
      </c>
      <c r="O107" s="472">
        <v>0.05</v>
      </c>
      <c r="P107" s="472">
        <v>0.05</v>
      </c>
      <c r="Q107" s="472">
        <v>0.05</v>
      </c>
      <c r="R107" s="472">
        <v>0.05</v>
      </c>
      <c r="S107" s="472">
        <v>0.05</v>
      </c>
      <c r="T107" s="642">
        <v>0.05</v>
      </c>
      <c r="U107" s="260"/>
      <c r="V107" s="459" t="s">
        <v>14</v>
      </c>
      <c r="W107" s="460">
        <v>4467075685</v>
      </c>
      <c r="X107" s="460">
        <v>1365370426</v>
      </c>
      <c r="Y107" s="641">
        <v>0.05</v>
      </c>
      <c r="Z107" s="472">
        <v>0.05</v>
      </c>
      <c r="AA107" s="472">
        <v>0.05</v>
      </c>
      <c r="AB107" s="472">
        <v>0.05</v>
      </c>
      <c r="AC107" s="472">
        <v>0.05</v>
      </c>
      <c r="AD107" s="472">
        <v>0.05</v>
      </c>
      <c r="AE107" s="472">
        <v>0.05</v>
      </c>
      <c r="AF107" s="472">
        <v>0.05</v>
      </c>
      <c r="AG107" s="472">
        <v>0.05</v>
      </c>
      <c r="AH107" s="472">
        <v>0.05</v>
      </c>
      <c r="AI107" s="472">
        <v>0.05</v>
      </c>
      <c r="AJ107" s="472">
        <v>0.05</v>
      </c>
      <c r="AK107" s="472">
        <v>0.05</v>
      </c>
      <c r="AL107" s="472">
        <v>0.05</v>
      </c>
      <c r="AM107" s="472">
        <v>0.05</v>
      </c>
      <c r="AN107" s="642">
        <v>0.05</v>
      </c>
      <c r="AO107" s="260"/>
      <c r="AP107" s="260"/>
      <c r="AQ107" s="459" t="s">
        <v>14</v>
      </c>
      <c r="AR107" s="460">
        <v>4467075685</v>
      </c>
      <c r="AS107" s="460">
        <v>1365370426</v>
      </c>
      <c r="AT107" s="641">
        <v>0.05</v>
      </c>
      <c r="AU107" s="472">
        <v>0.05</v>
      </c>
      <c r="AV107" s="472">
        <v>0.05</v>
      </c>
      <c r="AW107" s="472">
        <v>0.05</v>
      </c>
      <c r="AX107" s="472">
        <v>0.05</v>
      </c>
      <c r="AY107" s="472">
        <v>0.05</v>
      </c>
      <c r="AZ107" s="472">
        <v>0.05</v>
      </c>
      <c r="BA107" s="472">
        <v>0.05</v>
      </c>
      <c r="BB107" s="472">
        <v>0.05</v>
      </c>
      <c r="BC107" s="472">
        <v>0.05</v>
      </c>
      <c r="BD107" s="472">
        <v>0.05</v>
      </c>
      <c r="BE107" s="472">
        <v>0.05</v>
      </c>
      <c r="BF107" s="472">
        <v>0.05</v>
      </c>
      <c r="BG107" s="472">
        <v>0.05</v>
      </c>
      <c r="BH107" s="472">
        <v>0.05</v>
      </c>
      <c r="BI107" s="642">
        <v>0.05</v>
      </c>
      <c r="BJ107" s="260"/>
      <c r="BK107" s="260"/>
      <c r="BL107" s="459" t="s">
        <v>14</v>
      </c>
      <c r="BM107" s="460">
        <v>4467075685</v>
      </c>
      <c r="BN107" s="460">
        <v>1365370426</v>
      </c>
      <c r="BO107" s="641">
        <v>0.05</v>
      </c>
      <c r="BP107" s="472">
        <v>0.05</v>
      </c>
      <c r="BQ107" s="472">
        <v>0.05</v>
      </c>
      <c r="BR107" s="472">
        <v>0.05</v>
      </c>
      <c r="BS107" s="472">
        <v>0.05</v>
      </c>
      <c r="BT107" s="472">
        <v>0.05</v>
      </c>
      <c r="BU107" s="472">
        <v>0.05</v>
      </c>
      <c r="BV107" s="472">
        <v>0.05</v>
      </c>
      <c r="BW107" s="472">
        <v>0.05</v>
      </c>
      <c r="BX107" s="472">
        <v>0.05</v>
      </c>
      <c r="BY107" s="472">
        <v>0.05</v>
      </c>
      <c r="BZ107" s="472">
        <v>0.05</v>
      </c>
      <c r="CA107" s="472">
        <v>0.05</v>
      </c>
      <c r="CB107" s="472">
        <v>0.05</v>
      </c>
      <c r="CC107" s="472">
        <v>0.05</v>
      </c>
      <c r="CD107" s="642">
        <v>0.05</v>
      </c>
    </row>
    <row r="108" spans="1:82" x14ac:dyDescent="0.2">
      <c r="A108" s="260"/>
      <c r="B108" s="260"/>
      <c r="C108" s="260"/>
      <c r="D108" s="260"/>
      <c r="E108" s="260"/>
      <c r="F108" s="260"/>
      <c r="G108" s="260"/>
      <c r="H108" s="260"/>
      <c r="I108" s="260"/>
      <c r="J108" s="260"/>
      <c r="K108" s="260"/>
      <c r="L108" s="260"/>
      <c r="M108" s="260"/>
      <c r="N108" s="260"/>
      <c r="O108" s="260"/>
      <c r="P108" s="260"/>
      <c r="Q108" s="260"/>
      <c r="R108" s="260"/>
      <c r="S108" s="260"/>
      <c r="T108" s="260"/>
      <c r="U108" s="260"/>
      <c r="V108" s="260"/>
      <c r="W108" s="260"/>
      <c r="X108" s="260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  <c r="AO108" s="260"/>
      <c r="AP108" s="260"/>
      <c r="AQ108" s="260"/>
      <c r="AR108" s="260"/>
      <c r="AS108" s="260"/>
      <c r="AT108" s="260"/>
      <c r="AU108" s="260"/>
      <c r="AV108" s="260"/>
      <c r="AW108" s="260"/>
      <c r="AX108" s="260"/>
      <c r="AY108" s="260"/>
      <c r="AZ108" s="260"/>
      <c r="BA108" s="260"/>
      <c r="BB108" s="260"/>
      <c r="BC108" s="260"/>
      <c r="BD108" s="260"/>
      <c r="BE108" s="260"/>
      <c r="BF108" s="260"/>
      <c r="BG108" s="260"/>
      <c r="BH108" s="260"/>
      <c r="BI108" s="260"/>
      <c r="BJ108" s="260"/>
      <c r="BK108" s="260"/>
      <c r="BL108" s="260"/>
      <c r="BM108" s="260"/>
      <c r="BN108" s="260"/>
      <c r="BO108" s="260"/>
      <c r="BP108" s="260"/>
      <c r="BQ108" s="260"/>
      <c r="BR108" s="260"/>
      <c r="BS108" s="260"/>
      <c r="BT108" s="260"/>
      <c r="BU108" s="260"/>
      <c r="BV108" s="260"/>
      <c r="BW108" s="260"/>
      <c r="BX108" s="260"/>
      <c r="BY108" s="260"/>
      <c r="BZ108" s="260"/>
      <c r="CA108" s="260"/>
      <c r="CB108" s="260"/>
      <c r="CC108" s="260"/>
      <c r="CD108" s="260"/>
    </row>
    <row r="109" spans="1:82" x14ac:dyDescent="0.2">
      <c r="A109" s="260"/>
      <c r="B109" s="260"/>
      <c r="C109" s="260"/>
      <c r="D109" s="260"/>
      <c r="E109" s="260"/>
      <c r="F109" s="260"/>
      <c r="G109" s="260"/>
      <c r="H109" s="260"/>
      <c r="I109" s="260"/>
      <c r="J109" s="260"/>
      <c r="K109" s="260"/>
      <c r="L109" s="260"/>
      <c r="M109" s="260"/>
      <c r="N109" s="260"/>
      <c r="O109" s="260"/>
      <c r="P109" s="260"/>
      <c r="Q109" s="260"/>
      <c r="R109" s="260"/>
      <c r="S109" s="260"/>
      <c r="T109" s="260"/>
      <c r="U109" s="260"/>
      <c r="V109" s="260"/>
      <c r="W109" s="260"/>
      <c r="X109" s="260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  <c r="AO109" s="260"/>
      <c r="AP109" s="260"/>
      <c r="AQ109" s="260"/>
      <c r="AR109" s="260"/>
      <c r="AS109" s="260"/>
      <c r="AT109" s="260"/>
      <c r="AU109" s="260"/>
      <c r="AV109" s="260"/>
      <c r="AW109" s="260"/>
      <c r="AX109" s="260"/>
      <c r="AY109" s="260"/>
      <c r="AZ109" s="260"/>
      <c r="BA109" s="260"/>
      <c r="BB109" s="260"/>
      <c r="BC109" s="260"/>
      <c r="BD109" s="260"/>
      <c r="BE109" s="260"/>
      <c r="BF109" s="260"/>
      <c r="BG109" s="260"/>
      <c r="BH109" s="260"/>
      <c r="BI109" s="260"/>
      <c r="BJ109" s="260"/>
      <c r="BK109" s="260"/>
      <c r="BL109" s="260"/>
      <c r="BM109" s="260"/>
      <c r="BN109" s="260"/>
      <c r="BO109" s="260"/>
      <c r="BP109" s="260"/>
      <c r="BQ109" s="260"/>
      <c r="BR109" s="260"/>
      <c r="BS109" s="260"/>
      <c r="BT109" s="260"/>
      <c r="BU109" s="260"/>
      <c r="BV109" s="260"/>
      <c r="BW109" s="260"/>
      <c r="BX109" s="260"/>
      <c r="BY109" s="260"/>
      <c r="BZ109" s="260"/>
      <c r="CA109" s="260"/>
      <c r="CB109" s="260"/>
      <c r="CC109" s="260"/>
      <c r="CD109" s="260"/>
    </row>
    <row r="110" spans="1:82" ht="21" x14ac:dyDescent="0.25">
      <c r="A110" s="260"/>
      <c r="B110" s="105" t="s">
        <v>215</v>
      </c>
      <c r="C110" s="105"/>
      <c r="D110" s="105"/>
      <c r="E110" s="262"/>
      <c r="F110" s="262"/>
      <c r="G110" s="262"/>
      <c r="H110" s="262"/>
      <c r="I110" s="262"/>
      <c r="J110" s="262"/>
      <c r="K110" s="262"/>
      <c r="L110" s="262"/>
      <c r="M110" s="262"/>
      <c r="N110" s="262"/>
      <c r="O110" s="262"/>
      <c r="P110" s="262"/>
      <c r="Q110" s="262"/>
      <c r="R110" s="262"/>
      <c r="S110" s="262"/>
      <c r="T110" s="262"/>
      <c r="U110" s="260"/>
      <c r="V110" s="105" t="s">
        <v>218</v>
      </c>
      <c r="W110" s="105"/>
      <c r="X110" s="105"/>
      <c r="Y110" s="262"/>
      <c r="Z110" s="262"/>
      <c r="AA110" s="262"/>
      <c r="AB110" s="262"/>
      <c r="AC110" s="262"/>
      <c r="AD110" s="262"/>
      <c r="AE110" s="262"/>
      <c r="AF110" s="262"/>
      <c r="AG110" s="262"/>
      <c r="AH110" s="262"/>
      <c r="AI110" s="262"/>
      <c r="AJ110" s="262"/>
      <c r="AK110" s="262"/>
      <c r="AL110" s="262"/>
      <c r="AM110" s="262"/>
      <c r="AN110" s="262"/>
      <c r="AO110" s="260"/>
      <c r="AP110" s="260"/>
      <c r="AQ110" s="105" t="s">
        <v>219</v>
      </c>
      <c r="AR110" s="105"/>
      <c r="AS110" s="105"/>
      <c r="AT110" s="262"/>
      <c r="AU110" s="262"/>
      <c r="AV110" s="262"/>
      <c r="AW110" s="262"/>
      <c r="AX110" s="262"/>
      <c r="AY110" s="262"/>
      <c r="AZ110" s="262"/>
      <c r="BA110" s="262"/>
      <c r="BB110" s="262"/>
      <c r="BC110" s="262"/>
      <c r="BD110" s="262"/>
      <c r="BE110" s="262"/>
      <c r="BF110" s="262"/>
      <c r="BG110" s="262"/>
      <c r="BH110" s="262"/>
      <c r="BI110" s="262"/>
      <c r="BJ110" s="260"/>
      <c r="BK110" s="260"/>
      <c r="BL110" s="105" t="s">
        <v>223</v>
      </c>
      <c r="BM110" s="105"/>
      <c r="BN110" s="105"/>
      <c r="BO110" s="262"/>
      <c r="BP110" s="262"/>
      <c r="BQ110" s="262"/>
      <c r="BR110" s="262"/>
      <c r="BS110" s="262"/>
      <c r="BT110" s="262"/>
      <c r="BU110" s="262"/>
      <c r="BV110" s="262"/>
      <c r="BW110" s="262"/>
      <c r="BX110" s="262"/>
      <c r="BY110" s="262"/>
      <c r="BZ110" s="262"/>
      <c r="CA110" s="262"/>
      <c r="CB110" s="262"/>
      <c r="CC110" s="262"/>
      <c r="CD110" s="262"/>
    </row>
    <row r="111" spans="1:82" x14ac:dyDescent="0.2">
      <c r="A111" s="260"/>
      <c r="B111" s="260"/>
      <c r="C111" s="260"/>
      <c r="D111" s="260"/>
      <c r="E111" s="260"/>
      <c r="F111" s="260"/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  <c r="V111" s="260"/>
      <c r="W111" s="260"/>
      <c r="X111" s="260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  <c r="AO111" s="260"/>
      <c r="AP111" s="260"/>
      <c r="AQ111" s="260"/>
      <c r="AR111" s="260"/>
      <c r="AS111" s="260"/>
      <c r="AT111" s="260"/>
      <c r="AU111" s="260"/>
      <c r="AV111" s="260"/>
      <c r="AW111" s="260"/>
      <c r="AX111" s="260"/>
      <c r="AY111" s="260"/>
      <c r="AZ111" s="260"/>
      <c r="BA111" s="260"/>
      <c r="BB111" s="260"/>
      <c r="BC111" s="260"/>
      <c r="BD111" s="260"/>
      <c r="BE111" s="260"/>
      <c r="BF111" s="260"/>
      <c r="BG111" s="260"/>
      <c r="BH111" s="260"/>
      <c r="BI111" s="260"/>
      <c r="BJ111" s="260"/>
      <c r="BK111" s="260"/>
      <c r="BL111" s="260"/>
      <c r="BM111" s="260"/>
      <c r="BN111" s="260"/>
      <c r="BO111" s="260"/>
      <c r="BP111" s="260"/>
      <c r="BQ111" s="260"/>
      <c r="BR111" s="260"/>
      <c r="BS111" s="260"/>
      <c r="BT111" s="260"/>
      <c r="BU111" s="260"/>
      <c r="BV111" s="260"/>
      <c r="BW111" s="260"/>
      <c r="BX111" s="260"/>
      <c r="BY111" s="260"/>
      <c r="BZ111" s="260"/>
      <c r="CA111" s="260"/>
      <c r="CB111" s="260"/>
      <c r="CC111" s="260"/>
      <c r="CD111" s="260"/>
    </row>
    <row r="112" spans="1:82" ht="19" x14ac:dyDescent="0.25">
      <c r="A112" s="260"/>
      <c r="B112" s="263" t="s">
        <v>66</v>
      </c>
      <c r="C112" s="260"/>
      <c r="D112" s="260"/>
      <c r="E112" s="260"/>
      <c r="F112" s="260"/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3" t="s">
        <v>66</v>
      </c>
      <c r="W112" s="263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3" t="s">
        <v>66</v>
      </c>
      <c r="AR112" s="263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3" t="s">
        <v>66</v>
      </c>
      <c r="BM112" s="263"/>
      <c r="BN112" s="260"/>
      <c r="BO112" s="260"/>
      <c r="BP112" s="260"/>
      <c r="BQ112" s="260"/>
      <c r="BR112" s="260"/>
      <c r="BS112" s="260"/>
      <c r="BT112" s="260"/>
      <c r="BU112" s="260"/>
      <c r="BV112" s="260"/>
      <c r="BW112" s="260"/>
      <c r="BX112" s="260"/>
      <c r="BY112" s="260"/>
      <c r="BZ112" s="260"/>
      <c r="CA112" s="260"/>
      <c r="CB112" s="260"/>
      <c r="CC112" s="260"/>
      <c r="CD112" s="260"/>
    </row>
    <row r="113" spans="1:82" ht="32" x14ac:dyDescent="0.2">
      <c r="A113" s="260"/>
      <c r="B113" s="264" t="s">
        <v>12</v>
      </c>
      <c r="C113" s="265" t="s">
        <v>15</v>
      </c>
      <c r="D113" s="265" t="s">
        <v>13</v>
      </c>
      <c r="E113" s="265" t="s">
        <v>37</v>
      </c>
      <c r="F113" s="265" t="s">
        <v>35</v>
      </c>
      <c r="G113" s="265" t="s">
        <v>36</v>
      </c>
      <c r="H113" s="265" t="s">
        <v>38</v>
      </c>
      <c r="I113" s="265" t="s">
        <v>39</v>
      </c>
      <c r="J113" s="265" t="s">
        <v>40</v>
      </c>
      <c r="K113" s="265" t="s">
        <v>41</v>
      </c>
      <c r="L113" s="265" t="s">
        <v>42</v>
      </c>
      <c r="M113" s="265" t="s">
        <v>43</v>
      </c>
      <c r="N113" s="265" t="s">
        <v>44</v>
      </c>
      <c r="O113" s="265" t="s">
        <v>45</v>
      </c>
      <c r="P113" s="265" t="s">
        <v>46</v>
      </c>
      <c r="Q113" s="266" t="s">
        <v>47</v>
      </c>
      <c r="R113" s="266" t="s">
        <v>75</v>
      </c>
      <c r="S113" s="266" t="s">
        <v>76</v>
      </c>
      <c r="T113" s="267" t="s">
        <v>77</v>
      </c>
      <c r="U113" s="260"/>
      <c r="V113" s="264" t="s">
        <v>12</v>
      </c>
      <c r="W113" s="265" t="s">
        <v>15</v>
      </c>
      <c r="X113" s="265" t="s">
        <v>13</v>
      </c>
      <c r="Y113" s="265" t="s">
        <v>37</v>
      </c>
      <c r="Z113" s="265" t="s">
        <v>35</v>
      </c>
      <c r="AA113" s="265" t="s">
        <v>36</v>
      </c>
      <c r="AB113" s="265" t="s">
        <v>38</v>
      </c>
      <c r="AC113" s="265" t="s">
        <v>39</v>
      </c>
      <c r="AD113" s="265" t="s">
        <v>40</v>
      </c>
      <c r="AE113" s="265" t="s">
        <v>41</v>
      </c>
      <c r="AF113" s="265" t="s">
        <v>42</v>
      </c>
      <c r="AG113" s="265" t="s">
        <v>43</v>
      </c>
      <c r="AH113" s="265" t="s">
        <v>44</v>
      </c>
      <c r="AI113" s="265" t="s">
        <v>45</v>
      </c>
      <c r="AJ113" s="265" t="s">
        <v>46</v>
      </c>
      <c r="AK113" s="266" t="s">
        <v>47</v>
      </c>
      <c r="AL113" s="266" t="s">
        <v>75</v>
      </c>
      <c r="AM113" s="266" t="s">
        <v>76</v>
      </c>
      <c r="AN113" s="267" t="s">
        <v>77</v>
      </c>
      <c r="AO113" s="260"/>
      <c r="AP113" s="260"/>
      <c r="AQ113" s="264" t="s">
        <v>12</v>
      </c>
      <c r="AR113" s="265" t="s">
        <v>15</v>
      </c>
      <c r="AS113" s="265" t="s">
        <v>13</v>
      </c>
      <c r="AT113" s="265" t="s">
        <v>37</v>
      </c>
      <c r="AU113" s="265" t="s">
        <v>35</v>
      </c>
      <c r="AV113" s="265" t="s">
        <v>36</v>
      </c>
      <c r="AW113" s="265" t="s">
        <v>38</v>
      </c>
      <c r="AX113" s="265" t="s">
        <v>39</v>
      </c>
      <c r="AY113" s="265" t="s">
        <v>40</v>
      </c>
      <c r="AZ113" s="265" t="s">
        <v>41</v>
      </c>
      <c r="BA113" s="265" t="s">
        <v>42</v>
      </c>
      <c r="BB113" s="265" t="s">
        <v>43</v>
      </c>
      <c r="BC113" s="265" t="s">
        <v>44</v>
      </c>
      <c r="BD113" s="265" t="s">
        <v>45</v>
      </c>
      <c r="BE113" s="265" t="s">
        <v>46</v>
      </c>
      <c r="BF113" s="266" t="s">
        <v>47</v>
      </c>
      <c r="BG113" s="266" t="s">
        <v>75</v>
      </c>
      <c r="BH113" s="266" t="s">
        <v>76</v>
      </c>
      <c r="BI113" s="267" t="s">
        <v>77</v>
      </c>
      <c r="BJ113" s="260"/>
      <c r="BK113" s="260"/>
      <c r="BL113" s="264" t="s">
        <v>12</v>
      </c>
      <c r="BM113" s="265" t="s">
        <v>15</v>
      </c>
      <c r="BN113" s="265" t="s">
        <v>13</v>
      </c>
      <c r="BO113" s="265" t="s">
        <v>37</v>
      </c>
      <c r="BP113" s="265" t="s">
        <v>35</v>
      </c>
      <c r="BQ113" s="265" t="s">
        <v>36</v>
      </c>
      <c r="BR113" s="265" t="s">
        <v>38</v>
      </c>
      <c r="BS113" s="265" t="s">
        <v>39</v>
      </c>
      <c r="BT113" s="265" t="s">
        <v>40</v>
      </c>
      <c r="BU113" s="265" t="s">
        <v>41</v>
      </c>
      <c r="BV113" s="265" t="s">
        <v>42</v>
      </c>
      <c r="BW113" s="265" t="s">
        <v>43</v>
      </c>
      <c r="BX113" s="265" t="s">
        <v>44</v>
      </c>
      <c r="BY113" s="265" t="s">
        <v>45</v>
      </c>
      <c r="BZ113" s="265" t="s">
        <v>46</v>
      </c>
      <c r="CA113" s="266" t="s">
        <v>47</v>
      </c>
      <c r="CB113" s="266" t="s">
        <v>75</v>
      </c>
      <c r="CC113" s="266" t="s">
        <v>76</v>
      </c>
      <c r="CD113" s="267" t="s">
        <v>77</v>
      </c>
    </row>
    <row r="114" spans="1:82" x14ac:dyDescent="0.2">
      <c r="A114" s="260"/>
      <c r="B114" s="269" t="s">
        <v>0</v>
      </c>
      <c r="C114" s="270">
        <v>74061018</v>
      </c>
      <c r="D114" s="270">
        <v>20012871</v>
      </c>
      <c r="E114" s="398">
        <v>0.34</v>
      </c>
      <c r="F114" s="664">
        <v>0.34</v>
      </c>
      <c r="G114" s="390">
        <v>0.34</v>
      </c>
      <c r="H114" s="406">
        <v>0.35</v>
      </c>
      <c r="I114" s="397">
        <v>0.35</v>
      </c>
      <c r="J114" s="1079">
        <v>0.35</v>
      </c>
      <c r="K114" s="389">
        <v>0.36</v>
      </c>
      <c r="L114" s="396">
        <v>0.36</v>
      </c>
      <c r="M114" s="949">
        <v>0.36</v>
      </c>
      <c r="N114" s="330">
        <v>0.36</v>
      </c>
      <c r="O114" s="325">
        <v>0.37</v>
      </c>
      <c r="P114" s="362">
        <v>0.37</v>
      </c>
      <c r="Q114" s="1080">
        <v>0.37</v>
      </c>
      <c r="R114" s="1081">
        <v>0.38</v>
      </c>
      <c r="S114" s="1082">
        <v>0.38</v>
      </c>
      <c r="T114" s="1083">
        <v>0.38200000000000001</v>
      </c>
      <c r="U114" s="260"/>
      <c r="V114" s="269" t="s">
        <v>0</v>
      </c>
      <c r="W114" s="270">
        <v>74061018</v>
      </c>
      <c r="X114" s="270">
        <v>20012871</v>
      </c>
      <c r="Y114" s="919">
        <v>0.34</v>
      </c>
      <c r="Z114" s="664">
        <v>0.34</v>
      </c>
      <c r="AA114" s="390">
        <v>0.34</v>
      </c>
      <c r="AB114" s="406">
        <v>0.35</v>
      </c>
      <c r="AC114" s="397">
        <v>0.35</v>
      </c>
      <c r="AD114" s="433">
        <v>0.35</v>
      </c>
      <c r="AE114" s="697">
        <v>0.35</v>
      </c>
      <c r="AF114" s="396">
        <v>0.36</v>
      </c>
      <c r="AG114" s="923">
        <v>0.36</v>
      </c>
      <c r="AH114" s="949">
        <v>0.36</v>
      </c>
      <c r="AI114" s="366">
        <v>0.36</v>
      </c>
      <c r="AJ114" s="325">
        <v>0.37</v>
      </c>
      <c r="AK114" s="1084">
        <v>0.37</v>
      </c>
      <c r="AL114" s="1080">
        <v>0.37</v>
      </c>
      <c r="AM114" s="1081">
        <v>0.37</v>
      </c>
      <c r="AN114" s="1085">
        <v>0.377</v>
      </c>
      <c r="AO114" s="260"/>
      <c r="AP114" s="260"/>
      <c r="AQ114" s="269" t="s">
        <v>0</v>
      </c>
      <c r="AR114" s="270">
        <v>74061018</v>
      </c>
      <c r="AS114" s="270">
        <v>20012871</v>
      </c>
      <c r="AT114" s="919">
        <v>0.34</v>
      </c>
      <c r="AU114" s="440">
        <v>0.34</v>
      </c>
      <c r="AV114" s="390">
        <v>0.34</v>
      </c>
      <c r="AW114" s="406">
        <v>0.35</v>
      </c>
      <c r="AX114" s="397">
        <v>0.35</v>
      </c>
      <c r="AY114" s="433">
        <v>0.35</v>
      </c>
      <c r="AZ114" s="697">
        <v>0.35</v>
      </c>
      <c r="BA114" s="396">
        <v>0.36</v>
      </c>
      <c r="BB114" s="923">
        <v>0.36</v>
      </c>
      <c r="BC114" s="949">
        <v>0.36</v>
      </c>
      <c r="BD114" s="366">
        <v>0.36</v>
      </c>
      <c r="BE114" s="325">
        <v>0.37</v>
      </c>
      <c r="BF114" s="1084">
        <v>0.37</v>
      </c>
      <c r="BG114" s="1086">
        <v>0.37</v>
      </c>
      <c r="BH114" s="1081">
        <v>0.37</v>
      </c>
      <c r="BI114" s="1087">
        <v>0.375</v>
      </c>
      <c r="BJ114" s="260"/>
      <c r="BK114" s="260"/>
      <c r="BL114" s="269" t="s">
        <v>0</v>
      </c>
      <c r="BM114" s="270">
        <v>74061018</v>
      </c>
      <c r="BN114" s="270">
        <v>20012871</v>
      </c>
      <c r="BO114" s="664">
        <v>0.34</v>
      </c>
      <c r="BP114" s="440">
        <v>0.34</v>
      </c>
      <c r="BQ114" s="390">
        <v>0.34</v>
      </c>
      <c r="BR114" s="406">
        <v>0.34</v>
      </c>
      <c r="BS114" s="397">
        <v>0.35</v>
      </c>
      <c r="BT114" s="433">
        <v>0.35</v>
      </c>
      <c r="BU114" s="697">
        <v>0.35</v>
      </c>
      <c r="BV114" s="389">
        <v>0.35</v>
      </c>
      <c r="BW114" s="396">
        <v>0.36</v>
      </c>
      <c r="BX114" s="949">
        <v>0.36</v>
      </c>
      <c r="BY114" s="330">
        <v>0.36</v>
      </c>
      <c r="BZ114" s="366">
        <v>0.36</v>
      </c>
      <c r="CA114" s="1088">
        <v>0.37</v>
      </c>
      <c r="CB114" s="1084">
        <v>0.37</v>
      </c>
      <c r="CC114" s="1080">
        <v>0.37</v>
      </c>
      <c r="CD114" s="1089">
        <v>0.372</v>
      </c>
    </row>
    <row r="115" spans="1:82" x14ac:dyDescent="0.2">
      <c r="A115" s="260"/>
      <c r="B115" s="269" t="s">
        <v>1</v>
      </c>
      <c r="C115" s="270">
        <v>164966422</v>
      </c>
      <c r="D115" s="270">
        <v>66753996</v>
      </c>
      <c r="E115" s="405">
        <v>0.41</v>
      </c>
      <c r="F115" s="405">
        <v>0.41</v>
      </c>
      <c r="G115" s="452">
        <v>0.41</v>
      </c>
      <c r="H115" s="452">
        <v>0.41</v>
      </c>
      <c r="I115" s="452">
        <v>0.41</v>
      </c>
      <c r="J115" s="404">
        <v>0.41</v>
      </c>
      <c r="K115" s="404">
        <v>0.41</v>
      </c>
      <c r="L115" s="446">
        <v>0.41</v>
      </c>
      <c r="M115" s="446">
        <v>0.41</v>
      </c>
      <c r="N115" s="446">
        <v>0.41</v>
      </c>
      <c r="O115" s="403">
        <v>0.41</v>
      </c>
      <c r="P115" s="403">
        <v>0.41</v>
      </c>
      <c r="Q115" s="338">
        <v>0.41</v>
      </c>
      <c r="R115" s="387">
        <v>0.42</v>
      </c>
      <c r="S115" s="387">
        <v>0.42</v>
      </c>
      <c r="T115" s="1090">
        <v>0.41699999999999998</v>
      </c>
      <c r="U115" s="260"/>
      <c r="V115" s="269" t="s">
        <v>1</v>
      </c>
      <c r="W115" s="270">
        <v>164966422</v>
      </c>
      <c r="X115" s="270">
        <v>66753996</v>
      </c>
      <c r="Y115" s="452">
        <v>0.41</v>
      </c>
      <c r="Z115" s="452">
        <v>0.41</v>
      </c>
      <c r="AA115" s="452">
        <v>0.41</v>
      </c>
      <c r="AB115" s="452">
        <v>0.41</v>
      </c>
      <c r="AC115" s="452">
        <v>0.41</v>
      </c>
      <c r="AD115" s="452">
        <v>0.41</v>
      </c>
      <c r="AE115" s="447">
        <v>0.41</v>
      </c>
      <c r="AF115" s="404">
        <v>0.41</v>
      </c>
      <c r="AG115" s="404">
        <v>0.41</v>
      </c>
      <c r="AH115" s="404">
        <v>0.41</v>
      </c>
      <c r="AI115" s="446">
        <v>0.41</v>
      </c>
      <c r="AJ115" s="446">
        <v>0.41</v>
      </c>
      <c r="AK115" s="446">
        <v>0.41</v>
      </c>
      <c r="AL115" s="403">
        <v>0.41</v>
      </c>
      <c r="AM115" s="403">
        <v>0.41</v>
      </c>
      <c r="AN115" s="935">
        <v>0.41199999999999998</v>
      </c>
      <c r="AO115" s="260"/>
      <c r="AP115" s="260"/>
      <c r="AQ115" s="269" t="s">
        <v>1</v>
      </c>
      <c r="AR115" s="270">
        <v>164966422</v>
      </c>
      <c r="AS115" s="270">
        <v>66753996</v>
      </c>
      <c r="AT115" s="447">
        <v>0.41</v>
      </c>
      <c r="AU115" s="452">
        <v>0.41</v>
      </c>
      <c r="AV115" s="452">
        <v>0.41</v>
      </c>
      <c r="AW115" s="452">
        <v>0.41</v>
      </c>
      <c r="AX115" s="452">
        <v>0.41</v>
      </c>
      <c r="AY115" s="452">
        <v>0.41</v>
      </c>
      <c r="AZ115" s="452">
        <v>0.41</v>
      </c>
      <c r="BA115" s="447">
        <v>0.41</v>
      </c>
      <c r="BB115" s="404">
        <v>0.41</v>
      </c>
      <c r="BC115" s="404">
        <v>0.41</v>
      </c>
      <c r="BD115" s="404">
        <v>0.41</v>
      </c>
      <c r="BE115" s="446">
        <v>0.41</v>
      </c>
      <c r="BF115" s="446">
        <v>0.41</v>
      </c>
      <c r="BG115" s="446">
        <v>0.41</v>
      </c>
      <c r="BH115" s="403">
        <v>0.41</v>
      </c>
      <c r="BI115" s="926">
        <v>0.41</v>
      </c>
      <c r="BJ115" s="260"/>
      <c r="BK115" s="260"/>
      <c r="BL115" s="269" t="s">
        <v>1</v>
      </c>
      <c r="BM115" s="270">
        <v>164966422</v>
      </c>
      <c r="BN115" s="270">
        <v>66753996</v>
      </c>
      <c r="BO115" s="404">
        <v>0.41</v>
      </c>
      <c r="BP115" s="404">
        <v>0.41</v>
      </c>
      <c r="BQ115" s="447">
        <v>0.41</v>
      </c>
      <c r="BR115" s="452">
        <v>0.4</v>
      </c>
      <c r="BS115" s="452">
        <v>0.4</v>
      </c>
      <c r="BT115" s="452">
        <v>0.4</v>
      </c>
      <c r="BU115" s="452">
        <v>0.4</v>
      </c>
      <c r="BV115" s="452">
        <v>0.4</v>
      </c>
      <c r="BW115" s="452">
        <v>0.4</v>
      </c>
      <c r="BX115" s="452">
        <v>0.4</v>
      </c>
      <c r="BY115" s="452">
        <v>0.4</v>
      </c>
      <c r="BZ115" s="447">
        <v>0.41</v>
      </c>
      <c r="CA115" s="404">
        <v>0.41</v>
      </c>
      <c r="CB115" s="404">
        <v>0.41</v>
      </c>
      <c r="CC115" s="404">
        <v>0.41</v>
      </c>
      <c r="CD115" s="1091">
        <v>0.40699999999999997</v>
      </c>
    </row>
    <row r="116" spans="1:82" x14ac:dyDescent="0.2">
      <c r="A116" s="260"/>
      <c r="B116" s="269" t="s">
        <v>2</v>
      </c>
      <c r="C116" s="270">
        <v>111850438</v>
      </c>
      <c r="D116" s="270">
        <v>59635518</v>
      </c>
      <c r="E116" s="335">
        <v>0.56999999999999995</v>
      </c>
      <c r="F116" s="322">
        <v>0.56000000000000005</v>
      </c>
      <c r="G116" s="1092">
        <v>0.56000000000000005</v>
      </c>
      <c r="H116" s="696">
        <v>0.55000000000000004</v>
      </c>
      <c r="I116" s="373">
        <v>0.55000000000000004</v>
      </c>
      <c r="J116" s="341">
        <v>0.55000000000000004</v>
      </c>
      <c r="K116" s="350">
        <v>0.54</v>
      </c>
      <c r="L116" s="681">
        <v>0.54</v>
      </c>
      <c r="M116" s="707">
        <v>0.54</v>
      </c>
      <c r="N116" s="374">
        <v>0.54</v>
      </c>
      <c r="O116" s="336">
        <v>0.53</v>
      </c>
      <c r="P116" s="351">
        <v>0.53</v>
      </c>
      <c r="Q116" s="415">
        <v>0.53</v>
      </c>
      <c r="R116" s="360">
        <v>0.53</v>
      </c>
      <c r="S116" s="300">
        <v>0.53</v>
      </c>
      <c r="T116" s="1093">
        <v>0.52500000000000002</v>
      </c>
      <c r="U116" s="260"/>
      <c r="V116" s="269" t="s">
        <v>2</v>
      </c>
      <c r="W116" s="270">
        <v>111850438</v>
      </c>
      <c r="X116" s="270">
        <v>59635518</v>
      </c>
      <c r="Y116" s="1094">
        <v>0.56999999999999995</v>
      </c>
      <c r="Z116" s="359">
        <v>0.56000000000000005</v>
      </c>
      <c r="AA116" s="349">
        <v>0.55000000000000004</v>
      </c>
      <c r="AB116" s="373">
        <v>0.55000000000000004</v>
      </c>
      <c r="AC116" s="384">
        <v>0.54</v>
      </c>
      <c r="AD116" s="681">
        <v>0.54</v>
      </c>
      <c r="AE116" s="374">
        <v>0.54</v>
      </c>
      <c r="AF116" s="336">
        <v>0.53</v>
      </c>
      <c r="AG116" s="415">
        <v>0.53</v>
      </c>
      <c r="AH116" s="300">
        <v>0.53</v>
      </c>
      <c r="AI116" s="375">
        <v>0.52</v>
      </c>
      <c r="AJ116" s="416">
        <v>0.52</v>
      </c>
      <c r="AK116" s="314">
        <v>0.52</v>
      </c>
      <c r="AL116" s="423">
        <v>0.51</v>
      </c>
      <c r="AM116" s="731">
        <v>0.51</v>
      </c>
      <c r="AN116" s="1095">
        <v>0.51100000000000001</v>
      </c>
      <c r="AO116" s="260"/>
      <c r="AP116" s="260"/>
      <c r="AQ116" s="269" t="s">
        <v>2</v>
      </c>
      <c r="AR116" s="270">
        <v>111850438</v>
      </c>
      <c r="AS116" s="270">
        <v>59635518</v>
      </c>
      <c r="AT116" s="1094">
        <v>0.56999999999999995</v>
      </c>
      <c r="AU116" s="359">
        <v>0.56000000000000005</v>
      </c>
      <c r="AV116" s="696">
        <v>0.55000000000000004</v>
      </c>
      <c r="AW116" s="1096">
        <v>0.55000000000000004</v>
      </c>
      <c r="AX116" s="350">
        <v>0.54</v>
      </c>
      <c r="AY116" s="707">
        <v>0.54</v>
      </c>
      <c r="AZ116" s="313">
        <v>0.53</v>
      </c>
      <c r="BA116" s="415">
        <v>0.53</v>
      </c>
      <c r="BB116" s="300">
        <v>0.53</v>
      </c>
      <c r="BC116" s="375">
        <v>0.52</v>
      </c>
      <c r="BD116" s="416">
        <v>0.52</v>
      </c>
      <c r="BE116" s="423">
        <v>0.52</v>
      </c>
      <c r="BF116" s="456">
        <v>0.51</v>
      </c>
      <c r="BG116" s="739">
        <v>0.51</v>
      </c>
      <c r="BH116" s="414">
        <v>0.51</v>
      </c>
      <c r="BI116" s="1097">
        <v>0.50600000000000001</v>
      </c>
      <c r="BJ116" s="260"/>
      <c r="BK116" s="260"/>
      <c r="BL116" s="269" t="s">
        <v>2</v>
      </c>
      <c r="BM116" s="270">
        <v>111850438</v>
      </c>
      <c r="BN116" s="270">
        <v>59635518</v>
      </c>
      <c r="BO116" s="1098">
        <v>0.56999999999999995</v>
      </c>
      <c r="BP116" s="690">
        <v>0.56000000000000005</v>
      </c>
      <c r="BQ116" s="699">
        <v>0.55000000000000004</v>
      </c>
      <c r="BR116" s="341">
        <v>0.54</v>
      </c>
      <c r="BS116" s="1099">
        <v>0.54</v>
      </c>
      <c r="BT116" s="313">
        <v>0.53</v>
      </c>
      <c r="BU116" s="415">
        <v>0.53</v>
      </c>
      <c r="BV116" s="685">
        <v>0.52</v>
      </c>
      <c r="BW116" s="410">
        <v>0.52</v>
      </c>
      <c r="BX116" s="423">
        <v>0.52</v>
      </c>
      <c r="BY116" s="731">
        <v>0.51</v>
      </c>
      <c r="BZ116" s="414">
        <v>0.51</v>
      </c>
      <c r="CA116" s="417">
        <v>0.51</v>
      </c>
      <c r="CB116" s="369">
        <v>0.5</v>
      </c>
      <c r="CC116" s="352">
        <v>0.5</v>
      </c>
      <c r="CD116" s="1100">
        <v>0.497</v>
      </c>
    </row>
    <row r="117" spans="1:82" x14ac:dyDescent="0.2">
      <c r="A117" s="260"/>
      <c r="B117" s="269" t="s">
        <v>3</v>
      </c>
      <c r="C117" s="270">
        <v>477796928</v>
      </c>
      <c r="D117" s="270">
        <v>234399775</v>
      </c>
      <c r="E117" s="653">
        <v>0.45</v>
      </c>
      <c r="F117" s="653">
        <v>0.45</v>
      </c>
      <c r="G117" s="653">
        <v>0.45</v>
      </c>
      <c r="H117" s="653">
        <v>0.45</v>
      </c>
      <c r="I117" s="653">
        <v>0.45</v>
      </c>
      <c r="J117" s="653">
        <v>0.45</v>
      </c>
      <c r="K117" s="653">
        <v>0.45</v>
      </c>
      <c r="L117" s="653">
        <v>0.46</v>
      </c>
      <c r="M117" s="329">
        <v>0.46</v>
      </c>
      <c r="N117" s="329">
        <v>0.46</v>
      </c>
      <c r="O117" s="329">
        <v>0.46</v>
      </c>
      <c r="P117" s="329">
        <v>0.46</v>
      </c>
      <c r="Q117" s="329">
        <v>0.46</v>
      </c>
      <c r="R117" s="324">
        <v>0.46</v>
      </c>
      <c r="S117" s="324">
        <v>0.46</v>
      </c>
      <c r="T117" s="1101">
        <v>0.45800000000000002</v>
      </c>
      <c r="U117" s="260"/>
      <c r="V117" s="269" t="s">
        <v>3</v>
      </c>
      <c r="W117" s="270">
        <v>477796928</v>
      </c>
      <c r="X117" s="270">
        <v>234399775</v>
      </c>
      <c r="Y117" s="329">
        <v>0.45</v>
      </c>
      <c r="Z117" s="653">
        <v>0.45</v>
      </c>
      <c r="AA117" s="653">
        <v>0.45</v>
      </c>
      <c r="AB117" s="653">
        <v>0.45</v>
      </c>
      <c r="AC117" s="653">
        <v>0.45</v>
      </c>
      <c r="AD117" s="653">
        <v>0.45</v>
      </c>
      <c r="AE117" s="653">
        <v>0.45</v>
      </c>
      <c r="AF117" s="653">
        <v>0.45</v>
      </c>
      <c r="AG117" s="653">
        <v>0.45</v>
      </c>
      <c r="AH117" s="653">
        <v>0.45</v>
      </c>
      <c r="AI117" s="653">
        <v>0.45</v>
      </c>
      <c r="AJ117" s="653">
        <v>0.45</v>
      </c>
      <c r="AK117" s="653">
        <v>0.45</v>
      </c>
      <c r="AL117" s="653">
        <v>0.45</v>
      </c>
      <c r="AM117" s="329">
        <v>0.45</v>
      </c>
      <c r="AN117" s="1102">
        <v>0.45400000000000001</v>
      </c>
      <c r="AO117" s="260"/>
      <c r="AP117" s="260"/>
      <c r="AQ117" s="269" t="s">
        <v>3</v>
      </c>
      <c r="AR117" s="270">
        <v>477796928</v>
      </c>
      <c r="AS117" s="270">
        <v>234399775</v>
      </c>
      <c r="AT117" s="329">
        <v>0.45</v>
      </c>
      <c r="AU117" s="329">
        <v>0.45</v>
      </c>
      <c r="AV117" s="653">
        <v>0.45</v>
      </c>
      <c r="AW117" s="653">
        <v>0.45</v>
      </c>
      <c r="AX117" s="653">
        <v>0.45</v>
      </c>
      <c r="AY117" s="653">
        <v>0.45</v>
      </c>
      <c r="AZ117" s="653">
        <v>0.45</v>
      </c>
      <c r="BA117" s="653">
        <v>0.45</v>
      </c>
      <c r="BB117" s="653">
        <v>0.45</v>
      </c>
      <c r="BC117" s="653">
        <v>0.45</v>
      </c>
      <c r="BD117" s="653">
        <v>0.45</v>
      </c>
      <c r="BE117" s="653">
        <v>0.45</v>
      </c>
      <c r="BF117" s="653">
        <v>0.45</v>
      </c>
      <c r="BG117" s="653">
        <v>0.45</v>
      </c>
      <c r="BH117" s="653">
        <v>0.45</v>
      </c>
      <c r="BI117" s="1103">
        <v>0.45300000000000001</v>
      </c>
      <c r="BJ117" s="260"/>
      <c r="BK117" s="260"/>
      <c r="BL117" s="269" t="s">
        <v>3</v>
      </c>
      <c r="BM117" s="270">
        <v>477796928</v>
      </c>
      <c r="BN117" s="270">
        <v>234399775</v>
      </c>
      <c r="BO117" s="329">
        <v>0.45</v>
      </c>
      <c r="BP117" s="329">
        <v>0.45</v>
      </c>
      <c r="BQ117" s="329">
        <v>0.45</v>
      </c>
      <c r="BR117" s="653">
        <v>0.45</v>
      </c>
      <c r="BS117" s="653">
        <v>0.45</v>
      </c>
      <c r="BT117" s="653">
        <v>0.45</v>
      </c>
      <c r="BU117" s="653">
        <v>0.45</v>
      </c>
      <c r="BV117" s="426">
        <v>0.45</v>
      </c>
      <c r="BW117" s="426">
        <v>0.45</v>
      </c>
      <c r="BX117" s="426">
        <v>0.45</v>
      </c>
      <c r="BY117" s="426">
        <v>0.45</v>
      </c>
      <c r="BZ117" s="426">
        <v>0.45</v>
      </c>
      <c r="CA117" s="426">
        <v>0.45</v>
      </c>
      <c r="CB117" s="426">
        <v>0.45</v>
      </c>
      <c r="CC117" s="426">
        <v>0.45</v>
      </c>
      <c r="CD117" s="1104">
        <v>0.45100000000000001</v>
      </c>
    </row>
    <row r="118" spans="1:82" x14ac:dyDescent="0.2">
      <c r="A118" s="260"/>
      <c r="B118" s="269" t="s">
        <v>4</v>
      </c>
      <c r="C118" s="270">
        <v>164227661</v>
      </c>
      <c r="D118" s="270">
        <v>96491379</v>
      </c>
      <c r="E118" s="357">
        <v>0.62</v>
      </c>
      <c r="F118" s="1105">
        <v>0.62</v>
      </c>
      <c r="G118" s="1106">
        <v>0.61</v>
      </c>
      <c r="H118" s="1107">
        <v>0.61</v>
      </c>
      <c r="I118" s="1108">
        <v>0.61</v>
      </c>
      <c r="J118" s="1109">
        <v>0.61</v>
      </c>
      <c r="K118" s="934">
        <v>0.6</v>
      </c>
      <c r="L118" s="938">
        <v>0.6</v>
      </c>
      <c r="M118" s="938">
        <v>0.6</v>
      </c>
      <c r="N118" s="1110">
        <v>0.6</v>
      </c>
      <c r="O118" s="688">
        <v>0.6</v>
      </c>
      <c r="P118" s="334">
        <v>0.6</v>
      </c>
      <c r="Q118" s="334">
        <v>0.6</v>
      </c>
      <c r="R118" s="321">
        <v>0.6</v>
      </c>
      <c r="S118" s="321">
        <v>0.59</v>
      </c>
      <c r="T118" s="1111">
        <v>0.59399999999999997</v>
      </c>
      <c r="U118" s="260"/>
      <c r="V118" s="269" t="s">
        <v>4</v>
      </c>
      <c r="W118" s="270">
        <v>164227661</v>
      </c>
      <c r="X118" s="270">
        <v>96491379</v>
      </c>
      <c r="Y118" s="357">
        <v>0.62</v>
      </c>
      <c r="Z118" s="1112">
        <v>0.61</v>
      </c>
      <c r="AA118" s="1107">
        <v>0.61</v>
      </c>
      <c r="AB118" s="1109">
        <v>0.61</v>
      </c>
      <c r="AC118" s="934">
        <v>0.6</v>
      </c>
      <c r="AD118" s="938">
        <v>0.6</v>
      </c>
      <c r="AE118" s="688">
        <v>0.6</v>
      </c>
      <c r="AF118" s="321">
        <v>0.6</v>
      </c>
      <c r="AG118" s="668">
        <v>0.59</v>
      </c>
      <c r="AH118" s="367">
        <v>0.59</v>
      </c>
      <c r="AI118" s="358">
        <v>0.59</v>
      </c>
      <c r="AJ118" s="936">
        <v>0.59</v>
      </c>
      <c r="AK118" s="1113">
        <v>0.59</v>
      </c>
      <c r="AL118" s="1114">
        <v>0.57999999999999996</v>
      </c>
      <c r="AM118" s="1115">
        <v>0.57999999999999996</v>
      </c>
      <c r="AN118" s="1116">
        <v>0.58199999999999996</v>
      </c>
      <c r="AO118" s="260"/>
      <c r="AP118" s="260"/>
      <c r="AQ118" s="269" t="s">
        <v>4</v>
      </c>
      <c r="AR118" s="270">
        <v>164227661</v>
      </c>
      <c r="AS118" s="270">
        <v>96491379</v>
      </c>
      <c r="AT118" s="357">
        <v>0.62</v>
      </c>
      <c r="AU118" s="1112">
        <v>0.61</v>
      </c>
      <c r="AV118" s="1107">
        <v>0.61</v>
      </c>
      <c r="AW118" s="931">
        <v>0.61</v>
      </c>
      <c r="AX118" s="938">
        <v>0.6</v>
      </c>
      <c r="AY118" s="1110">
        <v>0.6</v>
      </c>
      <c r="AZ118" s="334">
        <v>0.6</v>
      </c>
      <c r="BA118" s="668">
        <v>0.59</v>
      </c>
      <c r="BB118" s="367">
        <v>0.59</v>
      </c>
      <c r="BC118" s="936">
        <v>0.59</v>
      </c>
      <c r="BD118" s="939">
        <v>0.59</v>
      </c>
      <c r="BE118" s="1114">
        <v>0.57999999999999996</v>
      </c>
      <c r="BF118" s="1115">
        <v>0.57999999999999996</v>
      </c>
      <c r="BG118" s="932">
        <v>0.57999999999999996</v>
      </c>
      <c r="BH118" s="922">
        <v>0.57999999999999996</v>
      </c>
      <c r="BI118" s="1117">
        <v>0.57899999999999996</v>
      </c>
      <c r="BJ118" s="260"/>
      <c r="BK118" s="260"/>
      <c r="BL118" s="269" t="s">
        <v>4</v>
      </c>
      <c r="BM118" s="270">
        <v>164227661</v>
      </c>
      <c r="BN118" s="270">
        <v>96491379</v>
      </c>
      <c r="BO118" s="357">
        <v>0.62</v>
      </c>
      <c r="BP118" s="1112">
        <v>0.61</v>
      </c>
      <c r="BQ118" s="1108">
        <v>0.61</v>
      </c>
      <c r="BR118" s="934">
        <v>0.6</v>
      </c>
      <c r="BS118" s="1110">
        <v>0.6</v>
      </c>
      <c r="BT118" s="334">
        <v>0.6</v>
      </c>
      <c r="BU118" s="668">
        <v>0.59</v>
      </c>
      <c r="BV118" s="358">
        <v>0.59</v>
      </c>
      <c r="BW118" s="939">
        <v>0.59</v>
      </c>
      <c r="BX118" s="1115">
        <v>0.57999999999999996</v>
      </c>
      <c r="BY118" s="932">
        <v>0.57999999999999996</v>
      </c>
      <c r="BZ118" s="922">
        <v>0.57999999999999996</v>
      </c>
      <c r="CA118" s="692">
        <v>0.57999999999999996</v>
      </c>
      <c r="CB118" s="695">
        <v>0.56999999999999995</v>
      </c>
      <c r="CC118" s="1118">
        <v>0.56999999999999995</v>
      </c>
      <c r="CD118" s="1119">
        <v>0.57099999999999995</v>
      </c>
    </row>
    <row r="119" spans="1:82" x14ac:dyDescent="0.2">
      <c r="A119" s="260"/>
      <c r="B119" s="269" t="s">
        <v>5</v>
      </c>
      <c r="C119" s="270">
        <v>407962628</v>
      </c>
      <c r="D119" s="270">
        <v>187745918</v>
      </c>
      <c r="E119" s="738">
        <v>0.46</v>
      </c>
      <c r="F119" s="365">
        <v>0.46</v>
      </c>
      <c r="G119" s="291">
        <v>0.46</v>
      </c>
      <c r="H119" s="361">
        <v>0.46</v>
      </c>
      <c r="I119" s="386">
        <v>0.46</v>
      </c>
      <c r="J119" s="353">
        <v>0.47</v>
      </c>
      <c r="K119" s="353">
        <v>0.47</v>
      </c>
      <c r="L119" s="302">
        <v>0.47</v>
      </c>
      <c r="M119" s="337">
        <v>0.47</v>
      </c>
      <c r="N119" s="272">
        <v>0.47</v>
      </c>
      <c r="O119" s="272">
        <v>0.47</v>
      </c>
      <c r="P119" s="343">
        <v>0.47</v>
      </c>
      <c r="Q119" s="671">
        <v>0.47</v>
      </c>
      <c r="R119" s="429">
        <v>0.48</v>
      </c>
      <c r="S119" s="429">
        <v>0.48</v>
      </c>
      <c r="T119" s="1120">
        <v>0.47799999999999998</v>
      </c>
      <c r="U119" s="260"/>
      <c r="V119" s="269" t="s">
        <v>5</v>
      </c>
      <c r="W119" s="270">
        <v>407962628</v>
      </c>
      <c r="X119" s="270">
        <v>187745918</v>
      </c>
      <c r="Y119" s="365">
        <v>0.46</v>
      </c>
      <c r="Z119" s="291">
        <v>0.46</v>
      </c>
      <c r="AA119" s="361">
        <v>0.46</v>
      </c>
      <c r="AB119" s="361">
        <v>0.46</v>
      </c>
      <c r="AC119" s="386">
        <v>0.46</v>
      </c>
      <c r="AD119" s="353">
        <v>0.46</v>
      </c>
      <c r="AE119" s="353">
        <v>0.47</v>
      </c>
      <c r="AF119" s="302">
        <v>0.47</v>
      </c>
      <c r="AG119" s="302">
        <v>0.47</v>
      </c>
      <c r="AH119" s="379">
        <v>0.47</v>
      </c>
      <c r="AI119" s="272">
        <v>0.47</v>
      </c>
      <c r="AJ119" s="272">
        <v>0.47</v>
      </c>
      <c r="AK119" s="343">
        <v>0.47</v>
      </c>
      <c r="AL119" s="671">
        <v>0.47</v>
      </c>
      <c r="AM119" s="429">
        <v>0.47</v>
      </c>
      <c r="AN119" s="1121">
        <v>0.47599999999999998</v>
      </c>
      <c r="AO119" s="260"/>
      <c r="AP119" s="260"/>
      <c r="AQ119" s="269" t="s">
        <v>5</v>
      </c>
      <c r="AR119" s="270">
        <v>407962628</v>
      </c>
      <c r="AS119" s="270">
        <v>187745918</v>
      </c>
      <c r="AT119" s="291">
        <v>0.46</v>
      </c>
      <c r="AU119" s="913">
        <v>0.46</v>
      </c>
      <c r="AV119" s="361">
        <v>0.46</v>
      </c>
      <c r="AW119" s="386">
        <v>0.46</v>
      </c>
      <c r="AX119" s="386">
        <v>0.46</v>
      </c>
      <c r="AY119" s="353">
        <v>0.46</v>
      </c>
      <c r="AZ119" s="353">
        <v>0.46</v>
      </c>
      <c r="BA119" s="302">
        <v>0.47</v>
      </c>
      <c r="BB119" s="302">
        <v>0.47</v>
      </c>
      <c r="BC119" s="337">
        <v>0.47</v>
      </c>
      <c r="BD119" s="272">
        <v>0.47</v>
      </c>
      <c r="BE119" s="272">
        <v>0.47</v>
      </c>
      <c r="BF119" s="343">
        <v>0.47</v>
      </c>
      <c r="BG119" s="671">
        <v>0.47</v>
      </c>
      <c r="BH119" s="671">
        <v>0.47</v>
      </c>
      <c r="BI119" s="1121">
        <v>0.47499999999999998</v>
      </c>
      <c r="BJ119" s="260"/>
      <c r="BK119" s="260"/>
      <c r="BL119" s="269" t="s">
        <v>5</v>
      </c>
      <c r="BM119" s="270">
        <v>407962628</v>
      </c>
      <c r="BN119" s="270">
        <v>187745918</v>
      </c>
      <c r="BO119" s="291">
        <v>0.46</v>
      </c>
      <c r="BP119" s="361">
        <v>0.46</v>
      </c>
      <c r="BQ119" s="361">
        <v>0.46</v>
      </c>
      <c r="BR119" s="386">
        <v>0.46</v>
      </c>
      <c r="BS119" s="386">
        <v>0.46</v>
      </c>
      <c r="BT119" s="353">
        <v>0.46</v>
      </c>
      <c r="BU119" s="353">
        <v>0.46</v>
      </c>
      <c r="BV119" s="302">
        <v>0.46</v>
      </c>
      <c r="BW119" s="302">
        <v>0.47</v>
      </c>
      <c r="BX119" s="337">
        <v>0.47</v>
      </c>
      <c r="BY119" s="379">
        <v>0.47</v>
      </c>
      <c r="BZ119" s="272">
        <v>0.47</v>
      </c>
      <c r="CA119" s="343">
        <v>0.47</v>
      </c>
      <c r="CB119" s="343">
        <v>0.47</v>
      </c>
      <c r="CC119" s="671">
        <v>0.47</v>
      </c>
      <c r="CD119" s="1121">
        <v>0.47299999999999998</v>
      </c>
    </row>
    <row r="120" spans="1:82" x14ac:dyDescent="0.2">
      <c r="A120" s="260"/>
      <c r="B120" s="269" t="s">
        <v>6</v>
      </c>
      <c r="C120" s="270">
        <v>295355340</v>
      </c>
      <c r="D120" s="270">
        <v>30753929</v>
      </c>
      <c r="E120" s="280">
        <v>0.1</v>
      </c>
      <c r="F120" s="288">
        <v>0.1</v>
      </c>
      <c r="G120" s="395">
        <v>0.11</v>
      </c>
      <c r="H120" s="680">
        <v>0.12</v>
      </c>
      <c r="I120" s="278">
        <v>0.13</v>
      </c>
      <c r="J120" s="946">
        <v>0.13</v>
      </c>
      <c r="K120" s="319">
        <v>0.14000000000000001</v>
      </c>
      <c r="L120" s="372">
        <v>0.15</v>
      </c>
      <c r="M120" s="725">
        <v>0.16</v>
      </c>
      <c r="N120" s="394">
        <v>0.16</v>
      </c>
      <c r="O120" s="421">
        <v>0.17</v>
      </c>
      <c r="P120" s="649">
        <v>0.17</v>
      </c>
      <c r="Q120" s="749">
        <v>0.18</v>
      </c>
      <c r="R120" s="453">
        <v>0.19</v>
      </c>
      <c r="S120" s="1122">
        <v>0.19</v>
      </c>
      <c r="T120" s="1123">
        <v>0.19900000000000001</v>
      </c>
      <c r="U120" s="260"/>
      <c r="V120" s="269" t="s">
        <v>6</v>
      </c>
      <c r="W120" s="270">
        <v>295355340</v>
      </c>
      <c r="X120" s="270">
        <v>30753929</v>
      </c>
      <c r="Y120" s="280">
        <v>0.1</v>
      </c>
      <c r="Z120" s="288">
        <v>0.11</v>
      </c>
      <c r="AA120" s="327">
        <v>0.11</v>
      </c>
      <c r="AB120" s="297">
        <v>0.12</v>
      </c>
      <c r="AC120" s="962">
        <v>0.13</v>
      </c>
      <c r="AD120" s="1124">
        <v>0.14000000000000001</v>
      </c>
      <c r="AE120" s="458">
        <v>0.15</v>
      </c>
      <c r="AF120" s="1125">
        <v>0.15</v>
      </c>
      <c r="AG120" s="394">
        <v>0.16</v>
      </c>
      <c r="AH120" s="421">
        <v>0.17</v>
      </c>
      <c r="AI120" s="649">
        <v>0.18</v>
      </c>
      <c r="AJ120" s="714">
        <v>0.18</v>
      </c>
      <c r="AK120" s="286">
        <v>0.19</v>
      </c>
      <c r="AL120" s="708">
        <v>0.19</v>
      </c>
      <c r="AM120" s="348">
        <v>0.2</v>
      </c>
      <c r="AN120" s="1126">
        <v>0.20699999999999999</v>
      </c>
      <c r="AO120" s="260"/>
      <c r="AP120" s="260"/>
      <c r="AQ120" s="269" t="s">
        <v>6</v>
      </c>
      <c r="AR120" s="270">
        <v>295355340</v>
      </c>
      <c r="AS120" s="270">
        <v>30753929</v>
      </c>
      <c r="AT120" s="280">
        <v>0.1</v>
      </c>
      <c r="AU120" s="288">
        <v>0.11</v>
      </c>
      <c r="AV120" s="327">
        <v>0.11</v>
      </c>
      <c r="AW120" s="944">
        <v>0.12</v>
      </c>
      <c r="AX120" s="730">
        <v>0.13</v>
      </c>
      <c r="AY120" s="408">
        <v>0.14000000000000001</v>
      </c>
      <c r="AZ120" s="372">
        <v>0.15</v>
      </c>
      <c r="BA120" s="725">
        <v>0.16</v>
      </c>
      <c r="BB120" s="683">
        <v>0.16</v>
      </c>
      <c r="BC120" s="1127">
        <v>0.17</v>
      </c>
      <c r="BD120" s="378">
        <v>0.18</v>
      </c>
      <c r="BE120" s="277">
        <v>0.18</v>
      </c>
      <c r="BF120" s="1122">
        <v>0.19</v>
      </c>
      <c r="BG120" s="713">
        <v>0.2</v>
      </c>
      <c r="BH120" s="346">
        <v>0.2</v>
      </c>
      <c r="BI120" s="1128">
        <v>0.21</v>
      </c>
      <c r="BJ120" s="260"/>
      <c r="BK120" s="260"/>
      <c r="BL120" s="269" t="s">
        <v>6</v>
      </c>
      <c r="BM120" s="270">
        <v>295355340</v>
      </c>
      <c r="BN120" s="270">
        <v>30753929</v>
      </c>
      <c r="BO120" s="280">
        <v>0.1</v>
      </c>
      <c r="BP120" s="312">
        <v>0.11</v>
      </c>
      <c r="BQ120" s="702">
        <v>0.12</v>
      </c>
      <c r="BR120" s="684">
        <v>0.13</v>
      </c>
      <c r="BS120" s="946">
        <v>0.13</v>
      </c>
      <c r="BT120" s="340">
        <v>0.14000000000000001</v>
      </c>
      <c r="BU120" s="659">
        <v>0.15</v>
      </c>
      <c r="BV120" s="741">
        <v>0.16</v>
      </c>
      <c r="BW120" s="402">
        <v>0.17</v>
      </c>
      <c r="BX120" s="649">
        <v>0.17</v>
      </c>
      <c r="BY120" s="714">
        <v>0.18</v>
      </c>
      <c r="BZ120" s="363">
        <v>0.19</v>
      </c>
      <c r="CA120" s="704">
        <v>0.2</v>
      </c>
      <c r="CB120" s="667">
        <v>0.2</v>
      </c>
      <c r="CC120" s="643">
        <v>0.21</v>
      </c>
      <c r="CD120" s="1129">
        <v>0.215</v>
      </c>
    </row>
    <row r="121" spans="1:82" x14ac:dyDescent="0.2">
      <c r="A121" s="260"/>
      <c r="B121" s="269" t="s">
        <v>7</v>
      </c>
      <c r="C121" s="270">
        <v>328852284</v>
      </c>
      <c r="D121" s="270">
        <v>133280716</v>
      </c>
      <c r="E121" s="1130">
        <v>0.39</v>
      </c>
      <c r="F121" s="1131">
        <v>0.39</v>
      </c>
      <c r="G121" s="682">
        <v>0.39</v>
      </c>
      <c r="H121" s="682">
        <v>0.4</v>
      </c>
      <c r="I121" s="682">
        <v>0.4</v>
      </c>
      <c r="J121" s="275">
        <v>0.4</v>
      </c>
      <c r="K121" s="275">
        <v>0.4</v>
      </c>
      <c r="L121" s="284">
        <v>0.4</v>
      </c>
      <c r="M121" s="284">
        <v>0.4</v>
      </c>
      <c r="N121" s="310">
        <v>0.4</v>
      </c>
      <c r="O121" s="310">
        <v>0.4</v>
      </c>
      <c r="P121" s="304">
        <v>0.4</v>
      </c>
      <c r="Q121" s="304">
        <v>0.4</v>
      </c>
      <c r="R121" s="293">
        <v>0.4</v>
      </c>
      <c r="S121" s="405">
        <v>0.41</v>
      </c>
      <c r="T121" s="1132">
        <v>0.40600000000000003</v>
      </c>
      <c r="U121" s="260"/>
      <c r="V121" s="269" t="s">
        <v>7</v>
      </c>
      <c r="W121" s="270">
        <v>328852284</v>
      </c>
      <c r="X121" s="270">
        <v>133280716</v>
      </c>
      <c r="Y121" s="682">
        <v>0.39</v>
      </c>
      <c r="Z121" s="682">
        <v>0.39</v>
      </c>
      <c r="AA121" s="682">
        <v>0.39</v>
      </c>
      <c r="AB121" s="682">
        <v>0.39</v>
      </c>
      <c r="AC121" s="275">
        <v>0.39</v>
      </c>
      <c r="AD121" s="275">
        <v>0.4</v>
      </c>
      <c r="AE121" s="275">
        <v>0.4</v>
      </c>
      <c r="AF121" s="284">
        <v>0.4</v>
      </c>
      <c r="AG121" s="284">
        <v>0.4</v>
      </c>
      <c r="AH121" s="310">
        <v>0.4</v>
      </c>
      <c r="AI121" s="310">
        <v>0.4</v>
      </c>
      <c r="AJ121" s="310">
        <v>0.4</v>
      </c>
      <c r="AK121" s="304">
        <v>0.4</v>
      </c>
      <c r="AL121" s="304">
        <v>0.4</v>
      </c>
      <c r="AM121" s="293">
        <v>0.4</v>
      </c>
      <c r="AN121" s="928">
        <v>0.40300000000000002</v>
      </c>
      <c r="AO121" s="260"/>
      <c r="AP121" s="260"/>
      <c r="AQ121" s="269" t="s">
        <v>7</v>
      </c>
      <c r="AR121" s="270">
        <v>328852284</v>
      </c>
      <c r="AS121" s="270">
        <v>133280716</v>
      </c>
      <c r="AT121" s="682">
        <v>0.39</v>
      </c>
      <c r="AU121" s="682">
        <v>0.39</v>
      </c>
      <c r="AV121" s="682">
        <v>0.39</v>
      </c>
      <c r="AW121" s="275">
        <v>0.39</v>
      </c>
      <c r="AX121" s="275">
        <v>0.39</v>
      </c>
      <c r="AY121" s="275">
        <v>0.4</v>
      </c>
      <c r="AZ121" s="284">
        <v>0.4</v>
      </c>
      <c r="BA121" s="284">
        <v>0.4</v>
      </c>
      <c r="BB121" s="284">
        <v>0.4</v>
      </c>
      <c r="BC121" s="310">
        <v>0.4</v>
      </c>
      <c r="BD121" s="310">
        <v>0.4</v>
      </c>
      <c r="BE121" s="310">
        <v>0.4</v>
      </c>
      <c r="BF121" s="304">
        <v>0.4</v>
      </c>
      <c r="BG121" s="304">
        <v>0.4</v>
      </c>
      <c r="BH121" s="293">
        <v>0.4</v>
      </c>
      <c r="BI121" s="928">
        <v>0.40200000000000002</v>
      </c>
      <c r="BJ121" s="260"/>
      <c r="BK121" s="260"/>
      <c r="BL121" s="269" t="s">
        <v>7</v>
      </c>
      <c r="BM121" s="270">
        <v>328852284</v>
      </c>
      <c r="BN121" s="270">
        <v>133280716</v>
      </c>
      <c r="BO121" s="275">
        <v>0.39</v>
      </c>
      <c r="BP121" s="275">
        <v>0.39</v>
      </c>
      <c r="BQ121" s="275">
        <v>0.39</v>
      </c>
      <c r="BR121" s="275">
        <v>0.39</v>
      </c>
      <c r="BS121" s="275">
        <v>0.39</v>
      </c>
      <c r="BT121" s="275">
        <v>0.39</v>
      </c>
      <c r="BU121" s="284">
        <v>0.39</v>
      </c>
      <c r="BV121" s="284">
        <v>0.4</v>
      </c>
      <c r="BW121" s="284">
        <v>0.4</v>
      </c>
      <c r="BX121" s="284">
        <v>0.4</v>
      </c>
      <c r="BY121" s="310">
        <v>0.4</v>
      </c>
      <c r="BZ121" s="310">
        <v>0.4</v>
      </c>
      <c r="CA121" s="304">
        <v>0.4</v>
      </c>
      <c r="CB121" s="304">
        <v>0.4</v>
      </c>
      <c r="CC121" s="304">
        <v>0.4</v>
      </c>
      <c r="CD121" s="928">
        <v>0.40100000000000002</v>
      </c>
    </row>
    <row r="122" spans="1:82" x14ac:dyDescent="0.2">
      <c r="A122" s="260"/>
      <c r="B122" s="269" t="s">
        <v>8</v>
      </c>
      <c r="C122" s="270">
        <v>910487339</v>
      </c>
      <c r="D122" s="270">
        <v>321724914</v>
      </c>
      <c r="E122" s="432">
        <v>0.38</v>
      </c>
      <c r="F122" s="438">
        <v>0.39</v>
      </c>
      <c r="G122" s="948">
        <v>0.39</v>
      </c>
      <c r="H122" s="1131">
        <v>0.39</v>
      </c>
      <c r="I122" s="275">
        <v>0.4</v>
      </c>
      <c r="J122" s="284">
        <v>0.4</v>
      </c>
      <c r="K122" s="304">
        <v>0.4</v>
      </c>
      <c r="L122" s="405">
        <v>0.41</v>
      </c>
      <c r="M122" s="447">
        <v>0.41</v>
      </c>
      <c r="N122" s="446">
        <v>0.41</v>
      </c>
      <c r="O122" s="338">
        <v>0.41</v>
      </c>
      <c r="P122" s="929">
        <v>0.42</v>
      </c>
      <c r="Q122" s="355">
        <v>0.42</v>
      </c>
      <c r="R122" s="675">
        <v>0.42</v>
      </c>
      <c r="S122" s="420">
        <v>0.43</v>
      </c>
      <c r="T122" s="1133">
        <v>0.42799999999999999</v>
      </c>
      <c r="U122" s="260"/>
      <c r="V122" s="269" t="s">
        <v>8</v>
      </c>
      <c r="W122" s="270">
        <v>910487339</v>
      </c>
      <c r="X122" s="270">
        <v>321724914</v>
      </c>
      <c r="Y122" s="914">
        <v>0.38</v>
      </c>
      <c r="Z122" s="948">
        <v>0.39</v>
      </c>
      <c r="AA122" s="909">
        <v>0.39</v>
      </c>
      <c r="AB122" s="682">
        <v>0.39</v>
      </c>
      <c r="AC122" s="284">
        <v>0.4</v>
      </c>
      <c r="AD122" s="304">
        <v>0.4</v>
      </c>
      <c r="AE122" s="405">
        <v>0.4</v>
      </c>
      <c r="AF122" s="452">
        <v>0.41</v>
      </c>
      <c r="AG122" s="446">
        <v>0.41</v>
      </c>
      <c r="AH122" s="338">
        <v>0.41</v>
      </c>
      <c r="AI122" s="929">
        <v>0.42</v>
      </c>
      <c r="AJ122" s="274">
        <v>0.42</v>
      </c>
      <c r="AK122" s="675">
        <v>0.42</v>
      </c>
      <c r="AL122" s="420">
        <v>0.42</v>
      </c>
      <c r="AM122" s="451">
        <v>0.43</v>
      </c>
      <c r="AN122" s="1134">
        <v>0.43</v>
      </c>
      <c r="AO122" s="260"/>
      <c r="AP122" s="260"/>
      <c r="AQ122" s="269" t="s">
        <v>8</v>
      </c>
      <c r="AR122" s="270">
        <v>910487339</v>
      </c>
      <c r="AS122" s="270">
        <v>321724914</v>
      </c>
      <c r="AT122" s="914">
        <v>0.38</v>
      </c>
      <c r="AU122" s="948">
        <v>0.39</v>
      </c>
      <c r="AV122" s="1130">
        <v>0.39</v>
      </c>
      <c r="AW122" s="275">
        <v>0.39</v>
      </c>
      <c r="AX122" s="284">
        <v>0.4</v>
      </c>
      <c r="AY122" s="304">
        <v>0.4</v>
      </c>
      <c r="AZ122" s="405">
        <v>0.4</v>
      </c>
      <c r="BA122" s="404">
        <v>0.41</v>
      </c>
      <c r="BB122" s="403">
        <v>0.41</v>
      </c>
      <c r="BC122" s="387">
        <v>0.41</v>
      </c>
      <c r="BD122" s="445">
        <v>0.42</v>
      </c>
      <c r="BE122" s="274">
        <v>0.42</v>
      </c>
      <c r="BF122" s="303">
        <v>0.42</v>
      </c>
      <c r="BG122" s="345">
        <v>0.42</v>
      </c>
      <c r="BH122" s="451">
        <v>0.43</v>
      </c>
      <c r="BI122" s="1135">
        <v>0.43</v>
      </c>
      <c r="BJ122" s="260"/>
      <c r="BK122" s="260"/>
      <c r="BL122" s="269" t="s">
        <v>8</v>
      </c>
      <c r="BM122" s="270">
        <v>910487339</v>
      </c>
      <c r="BN122" s="270">
        <v>321724914</v>
      </c>
      <c r="BO122" s="438">
        <v>0.38</v>
      </c>
      <c r="BP122" s="909">
        <v>0.39</v>
      </c>
      <c r="BQ122" s="682">
        <v>0.39</v>
      </c>
      <c r="BR122" s="275">
        <v>0.39</v>
      </c>
      <c r="BS122" s="310">
        <v>0.4</v>
      </c>
      <c r="BT122" s="293">
        <v>0.4</v>
      </c>
      <c r="BU122" s="452">
        <v>0.4</v>
      </c>
      <c r="BV122" s="446">
        <v>0.41</v>
      </c>
      <c r="BW122" s="338">
        <v>0.41</v>
      </c>
      <c r="BX122" s="929">
        <v>0.41</v>
      </c>
      <c r="BY122" s="355">
        <v>0.42</v>
      </c>
      <c r="BZ122" s="675">
        <v>0.42</v>
      </c>
      <c r="CA122" s="420">
        <v>0.42</v>
      </c>
      <c r="CB122" s="451">
        <v>0.43</v>
      </c>
      <c r="CC122" s="745">
        <v>0.43</v>
      </c>
      <c r="CD122" s="1136">
        <v>0.43099999999999999</v>
      </c>
    </row>
    <row r="123" spans="1:82" x14ac:dyDescent="0.2">
      <c r="A123" s="260"/>
      <c r="B123" s="269" t="s">
        <v>9</v>
      </c>
      <c r="C123" s="270">
        <v>92705417</v>
      </c>
      <c r="D123" s="270">
        <v>27802728</v>
      </c>
      <c r="E123" s="746">
        <v>0.3</v>
      </c>
      <c r="F123" s="746">
        <v>0.3</v>
      </c>
      <c r="G123" s="746">
        <v>0.3</v>
      </c>
      <c r="H123" s="746">
        <v>0.3</v>
      </c>
      <c r="I123" s="721">
        <v>0.3</v>
      </c>
      <c r="J123" s="721">
        <v>0.3</v>
      </c>
      <c r="K123" s="721">
        <v>0.31</v>
      </c>
      <c r="L123" s="678">
        <v>0.31</v>
      </c>
      <c r="M123" s="678">
        <v>0.31</v>
      </c>
      <c r="N123" s="678">
        <v>0.31</v>
      </c>
      <c r="O123" s="676">
        <v>0.31</v>
      </c>
      <c r="P123" s="676">
        <v>0.31</v>
      </c>
      <c r="Q123" s="676">
        <v>0.31</v>
      </c>
      <c r="R123" s="720">
        <v>0.31</v>
      </c>
      <c r="S123" s="720">
        <v>0.31</v>
      </c>
      <c r="T123" s="924">
        <v>0.31</v>
      </c>
      <c r="U123" s="260"/>
      <c r="V123" s="269" t="s">
        <v>9</v>
      </c>
      <c r="W123" s="270">
        <v>92705417</v>
      </c>
      <c r="X123" s="270">
        <v>27802728</v>
      </c>
      <c r="Y123" s="721">
        <v>0.3</v>
      </c>
      <c r="Z123" s="721">
        <v>0.3</v>
      </c>
      <c r="AA123" s="746">
        <v>0.3</v>
      </c>
      <c r="AB123" s="746">
        <v>0.3</v>
      </c>
      <c r="AC123" s="746">
        <v>0.3</v>
      </c>
      <c r="AD123" s="746">
        <v>0.3</v>
      </c>
      <c r="AE123" s="746">
        <v>0.3</v>
      </c>
      <c r="AF123" s="746">
        <v>0.3</v>
      </c>
      <c r="AG123" s="746">
        <v>0.3</v>
      </c>
      <c r="AH123" s="746">
        <v>0.3</v>
      </c>
      <c r="AI123" s="746">
        <v>0.3</v>
      </c>
      <c r="AJ123" s="746">
        <v>0.3</v>
      </c>
      <c r="AK123" s="746">
        <v>0.3</v>
      </c>
      <c r="AL123" s="746">
        <v>0.3</v>
      </c>
      <c r="AM123" s="721">
        <v>0.3</v>
      </c>
      <c r="AN123" s="1137">
        <v>0.30399999999999999</v>
      </c>
      <c r="AO123" s="260"/>
      <c r="AP123" s="260"/>
      <c r="AQ123" s="269" t="s">
        <v>9</v>
      </c>
      <c r="AR123" s="270">
        <v>92705417</v>
      </c>
      <c r="AS123" s="270">
        <v>27802728</v>
      </c>
      <c r="AT123" s="678">
        <v>0.3</v>
      </c>
      <c r="AU123" s="721">
        <v>0.3</v>
      </c>
      <c r="AV123" s="746">
        <v>0.3</v>
      </c>
      <c r="AW123" s="746">
        <v>0.3</v>
      </c>
      <c r="AX123" s="746">
        <v>0.3</v>
      </c>
      <c r="AY123" s="746">
        <v>0.3</v>
      </c>
      <c r="AZ123" s="400">
        <v>0.3</v>
      </c>
      <c r="BA123" s="400">
        <v>0.3</v>
      </c>
      <c r="BB123" s="400">
        <v>0.3</v>
      </c>
      <c r="BC123" s="400">
        <v>0.3</v>
      </c>
      <c r="BD123" s="400">
        <v>0.3</v>
      </c>
      <c r="BE123" s="400">
        <v>0.3</v>
      </c>
      <c r="BF123" s="400">
        <v>0.3</v>
      </c>
      <c r="BG123" s="746">
        <v>0.3</v>
      </c>
      <c r="BH123" s="746">
        <v>0.3</v>
      </c>
      <c r="BI123" s="964">
        <v>0.30199999999999999</v>
      </c>
      <c r="BJ123" s="260"/>
      <c r="BK123" s="260"/>
      <c r="BL123" s="269" t="s">
        <v>9</v>
      </c>
      <c r="BM123" s="270">
        <v>92705417</v>
      </c>
      <c r="BN123" s="270">
        <v>27802728</v>
      </c>
      <c r="BO123" s="676">
        <v>0.3</v>
      </c>
      <c r="BP123" s="721">
        <v>0.3</v>
      </c>
      <c r="BQ123" s="746">
        <v>0.3</v>
      </c>
      <c r="BR123" s="746">
        <v>0.3</v>
      </c>
      <c r="BS123" s="400">
        <v>0.3</v>
      </c>
      <c r="BT123" s="400">
        <v>0.3</v>
      </c>
      <c r="BU123" s="400">
        <v>0.3</v>
      </c>
      <c r="BV123" s="703">
        <v>0.3</v>
      </c>
      <c r="BW123" s="703">
        <v>0.3</v>
      </c>
      <c r="BX123" s="703">
        <v>0.3</v>
      </c>
      <c r="BY123" s="703">
        <v>0.3</v>
      </c>
      <c r="BZ123" s="703">
        <v>0.3</v>
      </c>
      <c r="CA123" s="703">
        <v>0.3</v>
      </c>
      <c r="CB123" s="703">
        <v>0.3</v>
      </c>
      <c r="CC123" s="703">
        <v>0.3</v>
      </c>
      <c r="CD123" s="1138">
        <v>0.29799999999999999</v>
      </c>
    </row>
    <row r="124" spans="1:82" x14ac:dyDescent="0.2">
      <c r="A124" s="260"/>
      <c r="B124" s="269" t="s">
        <v>10</v>
      </c>
      <c r="C124" s="270">
        <v>1243404656</v>
      </c>
      <c r="D124" s="270">
        <v>110876434</v>
      </c>
      <c r="E124" s="312">
        <v>0.11</v>
      </c>
      <c r="F124" s="328">
        <v>0.11</v>
      </c>
      <c r="G124" s="327">
        <v>0.12</v>
      </c>
      <c r="H124" s="431">
        <v>0.12</v>
      </c>
      <c r="I124" s="944">
        <v>0.12</v>
      </c>
      <c r="J124" s="278">
        <v>0.13</v>
      </c>
      <c r="K124" s="962">
        <v>0.13</v>
      </c>
      <c r="L124" s="946">
        <v>0.13</v>
      </c>
      <c r="M124" s="1124">
        <v>0.14000000000000001</v>
      </c>
      <c r="N124" s="319">
        <v>0.14000000000000001</v>
      </c>
      <c r="O124" s="458">
        <v>0.15</v>
      </c>
      <c r="P124" s="718">
        <v>0.15</v>
      </c>
      <c r="Q124" s="659">
        <v>0.15</v>
      </c>
      <c r="R124" s="725">
        <v>0.16</v>
      </c>
      <c r="S124" s="741">
        <v>0.16</v>
      </c>
      <c r="T124" s="1139">
        <v>0.16200000000000001</v>
      </c>
      <c r="U124" s="260"/>
      <c r="V124" s="269" t="s">
        <v>10</v>
      </c>
      <c r="W124" s="270">
        <v>1243404656</v>
      </c>
      <c r="X124" s="270">
        <v>110876434</v>
      </c>
      <c r="Y124" s="312">
        <v>0.11</v>
      </c>
      <c r="Z124" s="328">
        <v>0.11</v>
      </c>
      <c r="AA124" s="702">
        <v>0.12</v>
      </c>
      <c r="AB124" s="680">
        <v>0.12</v>
      </c>
      <c r="AC124" s="684">
        <v>0.13</v>
      </c>
      <c r="AD124" s="287">
        <v>0.13</v>
      </c>
      <c r="AE124" s="946">
        <v>0.13</v>
      </c>
      <c r="AF124" s="1124">
        <v>0.14000000000000001</v>
      </c>
      <c r="AG124" s="319">
        <v>0.14000000000000001</v>
      </c>
      <c r="AH124" s="458">
        <v>0.15</v>
      </c>
      <c r="AI124" s="718">
        <v>0.15</v>
      </c>
      <c r="AJ124" s="1125">
        <v>0.15</v>
      </c>
      <c r="AK124" s="1140">
        <v>0.16</v>
      </c>
      <c r="AL124" s="741">
        <v>0.16</v>
      </c>
      <c r="AM124" s="644">
        <v>0.16</v>
      </c>
      <c r="AN124" s="1141">
        <v>0.16700000000000001</v>
      </c>
      <c r="AO124" s="260"/>
      <c r="AP124" s="260"/>
      <c r="AQ124" s="269" t="s">
        <v>10</v>
      </c>
      <c r="AR124" s="270">
        <v>1243404656</v>
      </c>
      <c r="AS124" s="270">
        <v>110876434</v>
      </c>
      <c r="AT124" s="312">
        <v>0.11</v>
      </c>
      <c r="AU124" s="328">
        <v>0.11</v>
      </c>
      <c r="AV124" s="332">
        <v>0.12</v>
      </c>
      <c r="AW124" s="680">
        <v>0.12</v>
      </c>
      <c r="AX124" s="278">
        <v>0.13</v>
      </c>
      <c r="AY124" s="962">
        <v>0.13</v>
      </c>
      <c r="AZ124" s="946">
        <v>0.13</v>
      </c>
      <c r="BA124" s="1124">
        <v>0.14000000000000001</v>
      </c>
      <c r="BB124" s="319">
        <v>0.14000000000000001</v>
      </c>
      <c r="BC124" s="372">
        <v>0.15</v>
      </c>
      <c r="BD124" s="659">
        <v>0.15</v>
      </c>
      <c r="BE124" s="1125">
        <v>0.15</v>
      </c>
      <c r="BF124" s="306">
        <v>0.16</v>
      </c>
      <c r="BG124" s="394">
        <v>0.16</v>
      </c>
      <c r="BH124" s="674">
        <v>0.17</v>
      </c>
      <c r="BI124" s="1142">
        <v>0.16800000000000001</v>
      </c>
      <c r="BJ124" s="260"/>
      <c r="BK124" s="260"/>
      <c r="BL124" s="269" t="s">
        <v>10</v>
      </c>
      <c r="BM124" s="270">
        <v>1243404656</v>
      </c>
      <c r="BN124" s="270">
        <v>110876434</v>
      </c>
      <c r="BO124" s="312">
        <v>0.11</v>
      </c>
      <c r="BP124" s="395">
        <v>0.11</v>
      </c>
      <c r="BQ124" s="332">
        <v>0.12</v>
      </c>
      <c r="BR124" s="297">
        <v>0.12</v>
      </c>
      <c r="BS124" s="278">
        <v>0.13</v>
      </c>
      <c r="BT124" s="730">
        <v>0.13</v>
      </c>
      <c r="BU124" s="409">
        <v>0.14000000000000001</v>
      </c>
      <c r="BV124" s="408">
        <v>0.14000000000000001</v>
      </c>
      <c r="BW124" s="458">
        <v>0.14000000000000001</v>
      </c>
      <c r="BX124" s="718">
        <v>0.15</v>
      </c>
      <c r="BY124" s="1125">
        <v>0.15</v>
      </c>
      <c r="BZ124" s="306">
        <v>0.16</v>
      </c>
      <c r="CA124" s="394">
        <v>0.16</v>
      </c>
      <c r="CB124" s="674">
        <v>0.16</v>
      </c>
      <c r="CC124" s="421">
        <v>0.17</v>
      </c>
      <c r="CD124" s="1143">
        <v>0.17100000000000001</v>
      </c>
    </row>
    <row r="125" spans="1:82" x14ac:dyDescent="0.2">
      <c r="A125" s="260"/>
      <c r="B125" s="269" t="s">
        <v>11</v>
      </c>
      <c r="C125" s="270">
        <v>195405555</v>
      </c>
      <c r="D125" s="270">
        <v>75892247</v>
      </c>
      <c r="E125" s="909">
        <v>0.39</v>
      </c>
      <c r="F125" s="909">
        <v>0.39</v>
      </c>
      <c r="G125" s="1130">
        <v>0.39</v>
      </c>
      <c r="H125" s="1131">
        <v>0.39</v>
      </c>
      <c r="I125" s="682">
        <v>0.39</v>
      </c>
      <c r="J125" s="682">
        <v>0.4</v>
      </c>
      <c r="K125" s="275">
        <v>0.4</v>
      </c>
      <c r="L125" s="284">
        <v>0.4</v>
      </c>
      <c r="M125" s="284">
        <v>0.4</v>
      </c>
      <c r="N125" s="310">
        <v>0.4</v>
      </c>
      <c r="O125" s="304">
        <v>0.4</v>
      </c>
      <c r="P125" s="293">
        <v>0.4</v>
      </c>
      <c r="Q125" s="293">
        <v>0.4</v>
      </c>
      <c r="R125" s="405">
        <v>0.41</v>
      </c>
      <c r="S125" s="452">
        <v>0.41</v>
      </c>
      <c r="T125" s="937">
        <v>0.40899999999999997</v>
      </c>
      <c r="U125" s="260"/>
      <c r="V125" s="269" t="s">
        <v>11</v>
      </c>
      <c r="W125" s="270">
        <v>195405555</v>
      </c>
      <c r="X125" s="270">
        <v>75892247</v>
      </c>
      <c r="Y125" s="909">
        <v>0.39</v>
      </c>
      <c r="Z125" s="1130">
        <v>0.39</v>
      </c>
      <c r="AA125" s="1131">
        <v>0.39</v>
      </c>
      <c r="AB125" s="682">
        <v>0.39</v>
      </c>
      <c r="AC125" s="682">
        <v>0.39</v>
      </c>
      <c r="AD125" s="682">
        <v>0.39</v>
      </c>
      <c r="AE125" s="275">
        <v>0.4</v>
      </c>
      <c r="AF125" s="275">
        <v>0.4</v>
      </c>
      <c r="AG125" s="284">
        <v>0.4</v>
      </c>
      <c r="AH125" s="284">
        <v>0.4</v>
      </c>
      <c r="AI125" s="310">
        <v>0.4</v>
      </c>
      <c r="AJ125" s="304">
        <v>0.4</v>
      </c>
      <c r="AK125" s="304">
        <v>0.4</v>
      </c>
      <c r="AL125" s="293">
        <v>0.4</v>
      </c>
      <c r="AM125" s="405">
        <v>0.4</v>
      </c>
      <c r="AN125" s="1132">
        <v>0.40500000000000003</v>
      </c>
      <c r="AO125" s="260"/>
      <c r="AP125" s="260"/>
      <c r="AQ125" s="269" t="s">
        <v>11</v>
      </c>
      <c r="AR125" s="270">
        <v>195405555</v>
      </c>
      <c r="AS125" s="270">
        <v>75892247</v>
      </c>
      <c r="AT125" s="1130">
        <v>0.39</v>
      </c>
      <c r="AU125" s="1131">
        <v>0.39</v>
      </c>
      <c r="AV125" s="1131">
        <v>0.39</v>
      </c>
      <c r="AW125" s="682">
        <v>0.39</v>
      </c>
      <c r="AX125" s="682">
        <v>0.39</v>
      </c>
      <c r="AY125" s="275">
        <v>0.39</v>
      </c>
      <c r="AZ125" s="275">
        <v>0.39</v>
      </c>
      <c r="BA125" s="275">
        <v>0.4</v>
      </c>
      <c r="BB125" s="284">
        <v>0.4</v>
      </c>
      <c r="BC125" s="284">
        <v>0.4</v>
      </c>
      <c r="BD125" s="310">
        <v>0.4</v>
      </c>
      <c r="BE125" s="304">
        <v>0.4</v>
      </c>
      <c r="BF125" s="304">
        <v>0.4</v>
      </c>
      <c r="BG125" s="293">
        <v>0.4</v>
      </c>
      <c r="BH125" s="405">
        <v>0.4</v>
      </c>
      <c r="BI125" s="1132">
        <v>0.40400000000000003</v>
      </c>
      <c r="BJ125" s="260"/>
      <c r="BK125" s="260"/>
      <c r="BL125" s="269" t="s">
        <v>11</v>
      </c>
      <c r="BM125" s="270">
        <v>195405555</v>
      </c>
      <c r="BN125" s="270">
        <v>75892247</v>
      </c>
      <c r="BO125" s="1131">
        <v>0.39</v>
      </c>
      <c r="BP125" s="682">
        <v>0.39</v>
      </c>
      <c r="BQ125" s="682">
        <v>0.39</v>
      </c>
      <c r="BR125" s="682">
        <v>0.39</v>
      </c>
      <c r="BS125" s="682">
        <v>0.39</v>
      </c>
      <c r="BT125" s="275">
        <v>0.39</v>
      </c>
      <c r="BU125" s="275">
        <v>0.39</v>
      </c>
      <c r="BV125" s="275">
        <v>0.39</v>
      </c>
      <c r="BW125" s="284">
        <v>0.39</v>
      </c>
      <c r="BX125" s="284">
        <v>0.4</v>
      </c>
      <c r="BY125" s="310">
        <v>0.4</v>
      </c>
      <c r="BZ125" s="310">
        <v>0.4</v>
      </c>
      <c r="CA125" s="304">
        <v>0.4</v>
      </c>
      <c r="CB125" s="304">
        <v>0.4</v>
      </c>
      <c r="CC125" s="293">
        <v>0.4</v>
      </c>
      <c r="CD125" s="928">
        <v>0.40100000000000002</v>
      </c>
    </row>
    <row r="126" spans="1:82" x14ac:dyDescent="0.2">
      <c r="A126" s="260"/>
      <c r="B126" s="459" t="s">
        <v>14</v>
      </c>
      <c r="C126" s="460">
        <v>4467075685</v>
      </c>
      <c r="D126" s="460">
        <v>1365370426</v>
      </c>
      <c r="E126" s="1144">
        <v>0.32</v>
      </c>
      <c r="F126" s="988">
        <v>0.32</v>
      </c>
      <c r="G126" s="798">
        <v>0.32</v>
      </c>
      <c r="H126" s="1145">
        <v>0.32</v>
      </c>
      <c r="I126" s="987">
        <v>0.33</v>
      </c>
      <c r="J126" s="1146">
        <v>0.33</v>
      </c>
      <c r="K126" s="1147">
        <v>0.33</v>
      </c>
      <c r="L126" s="1148">
        <v>0.33</v>
      </c>
      <c r="M126" s="1149">
        <v>0.33</v>
      </c>
      <c r="N126" s="975">
        <v>0.34</v>
      </c>
      <c r="O126" s="1150">
        <v>0.34</v>
      </c>
      <c r="P126" s="985">
        <v>0.34</v>
      </c>
      <c r="Q126" s="1151">
        <v>0.34</v>
      </c>
      <c r="R126" s="998">
        <v>0.35</v>
      </c>
      <c r="S126" s="984">
        <v>0.35</v>
      </c>
      <c r="T126" s="1152">
        <v>0.35</v>
      </c>
      <c r="U126" s="260"/>
      <c r="V126" s="459" t="s">
        <v>14</v>
      </c>
      <c r="W126" s="460">
        <v>4467075685</v>
      </c>
      <c r="X126" s="460">
        <v>1365370426</v>
      </c>
      <c r="Y126" s="988">
        <v>0.32</v>
      </c>
      <c r="Z126" s="1153">
        <v>0.32</v>
      </c>
      <c r="AA126" s="798">
        <v>0.32</v>
      </c>
      <c r="AB126" s="987">
        <v>0.32</v>
      </c>
      <c r="AC126" s="1146">
        <v>0.33</v>
      </c>
      <c r="AD126" s="976">
        <v>0.33</v>
      </c>
      <c r="AE126" s="1147">
        <v>0.33</v>
      </c>
      <c r="AF126" s="986">
        <v>0.33</v>
      </c>
      <c r="AG126" s="975">
        <v>0.33</v>
      </c>
      <c r="AH126" s="1150">
        <v>0.34</v>
      </c>
      <c r="AI126" s="985">
        <v>0.34</v>
      </c>
      <c r="AJ126" s="1151">
        <v>0.34</v>
      </c>
      <c r="AK126" s="974">
        <v>0.34</v>
      </c>
      <c r="AL126" s="1154">
        <v>0.35</v>
      </c>
      <c r="AM126" s="984">
        <v>0.35</v>
      </c>
      <c r="AN126" s="1155">
        <v>0.35</v>
      </c>
      <c r="AO126" s="260"/>
      <c r="AP126" s="260"/>
      <c r="AQ126" s="459" t="s">
        <v>14</v>
      </c>
      <c r="AR126" s="460">
        <v>4467075685</v>
      </c>
      <c r="AS126" s="460">
        <v>1365370426</v>
      </c>
      <c r="AT126" s="988">
        <v>0.32</v>
      </c>
      <c r="AU126" s="1153">
        <v>0.32</v>
      </c>
      <c r="AV126" s="1145">
        <v>0.32</v>
      </c>
      <c r="AW126" s="987">
        <v>0.32</v>
      </c>
      <c r="AX126" s="1146">
        <v>0.33</v>
      </c>
      <c r="AY126" s="976">
        <v>0.33</v>
      </c>
      <c r="AZ126" s="1147">
        <v>0.33</v>
      </c>
      <c r="BA126" s="1149">
        <v>0.33</v>
      </c>
      <c r="BB126" s="975">
        <v>0.33</v>
      </c>
      <c r="BC126" s="1150">
        <v>0.34</v>
      </c>
      <c r="BD126" s="985">
        <v>0.34</v>
      </c>
      <c r="BE126" s="1151">
        <v>0.34</v>
      </c>
      <c r="BF126" s="998">
        <v>0.34</v>
      </c>
      <c r="BG126" s="984">
        <v>0.35</v>
      </c>
      <c r="BH126" s="1156">
        <v>0.35</v>
      </c>
      <c r="BI126" s="1155">
        <v>0.35</v>
      </c>
      <c r="BJ126" s="260"/>
      <c r="BK126" s="260"/>
      <c r="BL126" s="459" t="s">
        <v>14</v>
      </c>
      <c r="BM126" s="460">
        <v>4467075685</v>
      </c>
      <c r="BN126" s="460">
        <v>1365370426</v>
      </c>
      <c r="BO126" s="988">
        <v>0.32</v>
      </c>
      <c r="BP126" s="798">
        <v>0.32</v>
      </c>
      <c r="BQ126" s="1145">
        <v>0.32</v>
      </c>
      <c r="BR126" s="987">
        <v>0.32</v>
      </c>
      <c r="BS126" s="1146">
        <v>0.33</v>
      </c>
      <c r="BT126" s="1147">
        <v>0.33</v>
      </c>
      <c r="BU126" s="986">
        <v>0.33</v>
      </c>
      <c r="BV126" s="1149">
        <v>0.33</v>
      </c>
      <c r="BW126" s="975">
        <v>0.33</v>
      </c>
      <c r="BX126" s="1157">
        <v>0.34</v>
      </c>
      <c r="BY126" s="1151">
        <v>0.34</v>
      </c>
      <c r="BZ126" s="974">
        <v>0.34</v>
      </c>
      <c r="CA126" s="1154">
        <v>0.34</v>
      </c>
      <c r="CB126" s="984">
        <v>0.35</v>
      </c>
      <c r="CC126" s="1156">
        <v>0.35</v>
      </c>
      <c r="CD126" s="1158">
        <v>0.35</v>
      </c>
    </row>
    <row r="127" spans="1:82" x14ac:dyDescent="0.2">
      <c r="A127" s="260"/>
      <c r="B127" s="260"/>
      <c r="C127" s="260"/>
      <c r="D127" s="260"/>
      <c r="E127" s="260"/>
      <c r="F127" s="260"/>
      <c r="G127" s="260"/>
      <c r="H127" s="260"/>
      <c r="I127" s="260"/>
      <c r="J127" s="283"/>
      <c r="K127" s="260"/>
      <c r="L127" s="260"/>
      <c r="M127" s="260"/>
      <c r="N127" s="260"/>
      <c r="O127" s="283"/>
      <c r="P127" s="260"/>
      <c r="Q127" s="260"/>
      <c r="R127" s="260"/>
      <c r="S127" s="260"/>
      <c r="T127" s="260"/>
      <c r="U127" s="260"/>
      <c r="V127" s="260"/>
      <c r="W127" s="260"/>
      <c r="X127" s="260"/>
      <c r="Y127" s="260"/>
      <c r="Z127" s="260"/>
      <c r="AA127" s="260"/>
      <c r="AB127" s="260"/>
      <c r="AC127" s="260"/>
      <c r="AD127" s="283"/>
      <c r="AE127" s="260"/>
      <c r="AF127" s="260"/>
      <c r="AG127" s="260"/>
      <c r="AH127" s="260"/>
      <c r="AI127" s="283"/>
      <c r="AJ127" s="260"/>
      <c r="AK127" s="260"/>
      <c r="AL127" s="260"/>
      <c r="AM127" s="260"/>
      <c r="AN127" s="260"/>
      <c r="AO127" s="260"/>
      <c r="AP127" s="260"/>
      <c r="AQ127" s="260"/>
      <c r="AR127" s="260"/>
      <c r="AS127" s="260"/>
      <c r="AT127" s="260"/>
      <c r="AU127" s="260"/>
      <c r="AV127" s="260"/>
      <c r="AW127" s="260"/>
      <c r="AX127" s="260"/>
      <c r="AY127" s="283"/>
      <c r="AZ127" s="260"/>
      <c r="BA127" s="260"/>
      <c r="BB127" s="260"/>
      <c r="BC127" s="260"/>
      <c r="BD127" s="283"/>
      <c r="BE127" s="260"/>
      <c r="BF127" s="260"/>
      <c r="BG127" s="260"/>
      <c r="BH127" s="260"/>
      <c r="BI127" s="260"/>
      <c r="BJ127" s="260"/>
      <c r="BK127" s="260"/>
      <c r="BL127" s="260"/>
      <c r="BM127" s="260"/>
      <c r="BN127" s="260"/>
      <c r="BO127" s="260"/>
      <c r="BP127" s="260"/>
      <c r="BQ127" s="260"/>
      <c r="BR127" s="260"/>
      <c r="BS127" s="260"/>
      <c r="BT127" s="283"/>
      <c r="BU127" s="260"/>
      <c r="BV127" s="260"/>
      <c r="BW127" s="260"/>
      <c r="BX127" s="260"/>
      <c r="BY127" s="283"/>
      <c r="BZ127" s="260"/>
      <c r="CA127" s="260"/>
      <c r="CB127" s="260"/>
      <c r="CC127" s="260"/>
      <c r="CD127" s="260"/>
    </row>
    <row r="128" spans="1:82" ht="19" x14ac:dyDescent="0.25">
      <c r="A128" s="260"/>
      <c r="B128" s="263" t="s">
        <v>211</v>
      </c>
      <c r="C128" s="260"/>
      <c r="D128" s="260"/>
      <c r="E128" s="260"/>
      <c r="F128" s="260"/>
      <c r="G128" s="260"/>
      <c r="H128" s="260"/>
      <c r="I128" s="260"/>
      <c r="J128" s="283"/>
      <c r="K128" s="260"/>
      <c r="L128" s="260"/>
      <c r="M128" s="260"/>
      <c r="N128" s="260"/>
      <c r="O128" s="283"/>
      <c r="P128" s="260"/>
      <c r="Q128" s="260"/>
      <c r="R128" s="260"/>
      <c r="S128" s="260"/>
      <c r="T128" s="260"/>
      <c r="U128" s="260"/>
      <c r="V128" s="263" t="s">
        <v>211</v>
      </c>
      <c r="W128" s="260"/>
      <c r="X128" s="260"/>
      <c r="Y128" s="260"/>
      <c r="Z128" s="260"/>
      <c r="AA128" s="260"/>
      <c r="AB128" s="260"/>
      <c r="AC128" s="260"/>
      <c r="AD128" s="283"/>
      <c r="AE128" s="260"/>
      <c r="AF128" s="260"/>
      <c r="AG128" s="260"/>
      <c r="AH128" s="260"/>
      <c r="AI128" s="283"/>
      <c r="AJ128" s="260"/>
      <c r="AK128" s="260"/>
      <c r="AL128" s="260"/>
      <c r="AM128" s="260"/>
      <c r="AN128" s="260"/>
      <c r="AO128" s="260"/>
      <c r="AP128" s="260"/>
      <c r="AQ128" s="263" t="s">
        <v>211</v>
      </c>
      <c r="AR128" s="260"/>
      <c r="AS128" s="260"/>
      <c r="AT128" s="260"/>
      <c r="AU128" s="260"/>
      <c r="AV128" s="260"/>
      <c r="AW128" s="260"/>
      <c r="AX128" s="260"/>
      <c r="AY128" s="283"/>
      <c r="AZ128" s="260"/>
      <c r="BA128" s="260"/>
      <c r="BB128" s="260"/>
      <c r="BC128" s="260"/>
      <c r="BD128" s="283"/>
      <c r="BE128" s="260"/>
      <c r="BF128" s="260"/>
      <c r="BG128" s="260"/>
      <c r="BH128" s="260"/>
      <c r="BI128" s="260"/>
      <c r="BJ128" s="260"/>
      <c r="BK128" s="260"/>
      <c r="BL128" s="263" t="s">
        <v>211</v>
      </c>
      <c r="BM128" s="260"/>
      <c r="BN128" s="260"/>
      <c r="BO128" s="260"/>
      <c r="BP128" s="260"/>
      <c r="BQ128" s="260"/>
      <c r="BR128" s="260"/>
      <c r="BS128" s="260"/>
      <c r="BT128" s="283"/>
      <c r="BU128" s="260"/>
      <c r="BV128" s="260"/>
      <c r="BW128" s="260"/>
      <c r="BX128" s="260"/>
      <c r="BY128" s="283"/>
      <c r="BZ128" s="260"/>
      <c r="CA128" s="260"/>
      <c r="CB128" s="260"/>
      <c r="CC128" s="260"/>
      <c r="CD128" s="260"/>
    </row>
    <row r="129" spans="1:82" ht="32" x14ac:dyDescent="0.2">
      <c r="A129" s="260"/>
      <c r="B129" s="264" t="s">
        <v>12</v>
      </c>
      <c r="C129" s="265" t="s">
        <v>15</v>
      </c>
      <c r="D129" s="265" t="s">
        <v>13</v>
      </c>
      <c r="E129" s="265" t="s">
        <v>37</v>
      </c>
      <c r="F129" s="265" t="s">
        <v>35</v>
      </c>
      <c r="G129" s="265" t="s">
        <v>36</v>
      </c>
      <c r="H129" s="265" t="s">
        <v>38</v>
      </c>
      <c r="I129" s="265" t="s">
        <v>39</v>
      </c>
      <c r="J129" s="265" t="s">
        <v>40</v>
      </c>
      <c r="K129" s="265" t="s">
        <v>41</v>
      </c>
      <c r="L129" s="265" t="s">
        <v>42</v>
      </c>
      <c r="M129" s="265" t="s">
        <v>43</v>
      </c>
      <c r="N129" s="265" t="s">
        <v>44</v>
      </c>
      <c r="O129" s="265" t="s">
        <v>45</v>
      </c>
      <c r="P129" s="265" t="s">
        <v>46</v>
      </c>
      <c r="Q129" s="265" t="s">
        <v>47</v>
      </c>
      <c r="R129" s="265" t="s">
        <v>75</v>
      </c>
      <c r="S129" s="265" t="s">
        <v>76</v>
      </c>
      <c r="T129" s="489" t="s">
        <v>77</v>
      </c>
      <c r="U129" s="260"/>
      <c r="V129" s="264" t="s">
        <v>12</v>
      </c>
      <c r="W129" s="265" t="s">
        <v>15</v>
      </c>
      <c r="X129" s="265" t="s">
        <v>13</v>
      </c>
      <c r="Y129" s="265" t="s">
        <v>37</v>
      </c>
      <c r="Z129" s="265" t="s">
        <v>35</v>
      </c>
      <c r="AA129" s="265" t="s">
        <v>36</v>
      </c>
      <c r="AB129" s="265" t="s">
        <v>38</v>
      </c>
      <c r="AC129" s="265" t="s">
        <v>39</v>
      </c>
      <c r="AD129" s="265" t="s">
        <v>40</v>
      </c>
      <c r="AE129" s="265" t="s">
        <v>41</v>
      </c>
      <c r="AF129" s="265" t="s">
        <v>42</v>
      </c>
      <c r="AG129" s="265" t="s">
        <v>43</v>
      </c>
      <c r="AH129" s="265" t="s">
        <v>44</v>
      </c>
      <c r="AI129" s="265" t="s">
        <v>45</v>
      </c>
      <c r="AJ129" s="265" t="s">
        <v>46</v>
      </c>
      <c r="AK129" s="265" t="s">
        <v>47</v>
      </c>
      <c r="AL129" s="265" t="s">
        <v>75</v>
      </c>
      <c r="AM129" s="265" t="s">
        <v>76</v>
      </c>
      <c r="AN129" s="489" t="s">
        <v>77</v>
      </c>
      <c r="AO129" s="260"/>
      <c r="AP129" s="260"/>
      <c r="AQ129" s="264" t="s">
        <v>12</v>
      </c>
      <c r="AR129" s="265" t="s">
        <v>15</v>
      </c>
      <c r="AS129" s="265" t="s">
        <v>13</v>
      </c>
      <c r="AT129" s="265" t="s">
        <v>37</v>
      </c>
      <c r="AU129" s="265" t="s">
        <v>35</v>
      </c>
      <c r="AV129" s="265" t="s">
        <v>36</v>
      </c>
      <c r="AW129" s="265" t="s">
        <v>38</v>
      </c>
      <c r="AX129" s="265" t="s">
        <v>39</v>
      </c>
      <c r="AY129" s="265" t="s">
        <v>40</v>
      </c>
      <c r="AZ129" s="265" t="s">
        <v>41</v>
      </c>
      <c r="BA129" s="265" t="s">
        <v>42</v>
      </c>
      <c r="BB129" s="265" t="s">
        <v>43</v>
      </c>
      <c r="BC129" s="265" t="s">
        <v>44</v>
      </c>
      <c r="BD129" s="265" t="s">
        <v>45</v>
      </c>
      <c r="BE129" s="265" t="s">
        <v>46</v>
      </c>
      <c r="BF129" s="265" t="s">
        <v>47</v>
      </c>
      <c r="BG129" s="265" t="s">
        <v>75</v>
      </c>
      <c r="BH129" s="265" t="s">
        <v>76</v>
      </c>
      <c r="BI129" s="489" t="s">
        <v>77</v>
      </c>
      <c r="BJ129" s="260"/>
      <c r="BK129" s="260"/>
      <c r="BL129" s="264" t="s">
        <v>12</v>
      </c>
      <c r="BM129" s="265" t="s">
        <v>15</v>
      </c>
      <c r="BN129" s="265" t="s">
        <v>13</v>
      </c>
      <c r="BO129" s="265" t="s">
        <v>37</v>
      </c>
      <c r="BP129" s="265" t="s">
        <v>35</v>
      </c>
      <c r="BQ129" s="265" t="s">
        <v>36</v>
      </c>
      <c r="BR129" s="265" t="s">
        <v>38</v>
      </c>
      <c r="BS129" s="265" t="s">
        <v>39</v>
      </c>
      <c r="BT129" s="265" t="s">
        <v>40</v>
      </c>
      <c r="BU129" s="265" t="s">
        <v>41</v>
      </c>
      <c r="BV129" s="265" t="s">
        <v>42</v>
      </c>
      <c r="BW129" s="265" t="s">
        <v>43</v>
      </c>
      <c r="BX129" s="265" t="s">
        <v>44</v>
      </c>
      <c r="BY129" s="265" t="s">
        <v>45</v>
      </c>
      <c r="BZ129" s="265" t="s">
        <v>46</v>
      </c>
      <c r="CA129" s="265" t="s">
        <v>47</v>
      </c>
      <c r="CB129" s="265" t="s">
        <v>75</v>
      </c>
      <c r="CC129" s="265" t="s">
        <v>76</v>
      </c>
      <c r="CD129" s="489" t="s">
        <v>77</v>
      </c>
    </row>
    <row r="130" spans="1:82" x14ac:dyDescent="0.2">
      <c r="A130" s="260"/>
      <c r="B130" s="269" t="s">
        <v>0</v>
      </c>
      <c r="C130" s="270">
        <v>74061018</v>
      </c>
      <c r="D130" s="270">
        <v>20012871</v>
      </c>
      <c r="E130" s="492">
        <v>2.4E-2</v>
      </c>
      <c r="F130" s="492">
        <v>2.4E-2</v>
      </c>
      <c r="G130" s="492">
        <v>2.4E-2</v>
      </c>
      <c r="H130" s="492">
        <v>2.4E-2</v>
      </c>
      <c r="I130" s="492">
        <v>2.4E-2</v>
      </c>
      <c r="J130" s="492">
        <v>2.4E-2</v>
      </c>
      <c r="K130" s="492">
        <v>2.4E-2</v>
      </c>
      <c r="L130" s="572">
        <v>2.4E-2</v>
      </c>
      <c r="M130" s="572">
        <v>2.4E-2</v>
      </c>
      <c r="N130" s="572">
        <v>2.4E-2</v>
      </c>
      <c r="O130" s="572">
        <v>2.4E-2</v>
      </c>
      <c r="P130" s="572">
        <v>2.4E-2</v>
      </c>
      <c r="Q130" s="572">
        <v>2.4E-2</v>
      </c>
      <c r="R130" s="572">
        <v>2.4E-2</v>
      </c>
      <c r="S130" s="572">
        <v>2.4E-2</v>
      </c>
      <c r="T130" s="1159">
        <v>2.4E-2</v>
      </c>
      <c r="U130" s="260"/>
      <c r="V130" s="269" t="s">
        <v>0</v>
      </c>
      <c r="W130" s="270">
        <v>74061018</v>
      </c>
      <c r="X130" s="270">
        <v>20012871</v>
      </c>
      <c r="Y130" s="572">
        <v>2.4E-2</v>
      </c>
      <c r="Z130" s="572">
        <v>2.4E-2</v>
      </c>
      <c r="AA130" s="572">
        <v>2.4E-2</v>
      </c>
      <c r="AB130" s="572">
        <v>2.4E-2</v>
      </c>
      <c r="AC130" s="572">
        <v>2.4E-2</v>
      </c>
      <c r="AD130" s="572">
        <v>2.4E-2</v>
      </c>
      <c r="AE130" s="572">
        <v>2.4E-2</v>
      </c>
      <c r="AF130" s="572">
        <v>2.4E-2</v>
      </c>
      <c r="AG130" s="572">
        <v>2.4E-2</v>
      </c>
      <c r="AH130" s="572">
        <v>2.4E-2</v>
      </c>
      <c r="AI130" s="492">
        <v>2.4E-2</v>
      </c>
      <c r="AJ130" s="492">
        <v>2.4E-2</v>
      </c>
      <c r="AK130" s="492">
        <v>2.4E-2</v>
      </c>
      <c r="AL130" s="492">
        <v>2.4E-2</v>
      </c>
      <c r="AM130" s="492">
        <v>2.4E-2</v>
      </c>
      <c r="AN130" s="1160">
        <v>2.4E-2</v>
      </c>
      <c r="AO130" s="260"/>
      <c r="AP130" s="260"/>
      <c r="AQ130" s="269" t="s">
        <v>0</v>
      </c>
      <c r="AR130" s="270">
        <v>74061018</v>
      </c>
      <c r="AS130" s="270">
        <v>20012871</v>
      </c>
      <c r="AT130" s="521">
        <v>2.5000000000000001E-2</v>
      </c>
      <c r="AU130" s="572">
        <v>2.5000000000000001E-2</v>
      </c>
      <c r="AV130" s="572">
        <v>2.5000000000000001E-2</v>
      </c>
      <c r="AW130" s="572">
        <v>2.5000000000000001E-2</v>
      </c>
      <c r="AX130" s="572">
        <v>2.5000000000000001E-2</v>
      </c>
      <c r="AY130" s="572">
        <v>2.5000000000000001E-2</v>
      </c>
      <c r="AZ130" s="572">
        <v>2.5000000000000001E-2</v>
      </c>
      <c r="BA130" s="572">
        <v>2.5000000000000001E-2</v>
      </c>
      <c r="BB130" s="572">
        <v>2.5000000000000001E-2</v>
      </c>
      <c r="BC130" s="572">
        <v>2.5000000000000001E-2</v>
      </c>
      <c r="BD130" s="492">
        <v>2.5000000000000001E-2</v>
      </c>
      <c r="BE130" s="492">
        <v>2.5000000000000001E-2</v>
      </c>
      <c r="BF130" s="492">
        <v>2.4E-2</v>
      </c>
      <c r="BG130" s="492">
        <v>2.4E-2</v>
      </c>
      <c r="BH130" s="492">
        <v>2.4E-2</v>
      </c>
      <c r="BI130" s="1161">
        <v>2.4E-2</v>
      </c>
      <c r="BJ130" s="260"/>
      <c r="BK130" s="260"/>
      <c r="BL130" s="269" t="s">
        <v>0</v>
      </c>
      <c r="BM130" s="270">
        <v>74061018</v>
      </c>
      <c r="BN130" s="270">
        <v>20012871</v>
      </c>
      <c r="BO130" s="521">
        <v>2.5000000000000001E-2</v>
      </c>
      <c r="BP130" s="521">
        <v>2.5000000000000001E-2</v>
      </c>
      <c r="BQ130" s="521">
        <v>2.5000000000000001E-2</v>
      </c>
      <c r="BR130" s="521">
        <v>2.5000000000000001E-2</v>
      </c>
      <c r="BS130" s="572">
        <v>2.5000000000000001E-2</v>
      </c>
      <c r="BT130" s="572">
        <v>2.5000000000000001E-2</v>
      </c>
      <c r="BU130" s="572">
        <v>2.5000000000000001E-2</v>
      </c>
      <c r="BV130" s="572">
        <v>2.5000000000000001E-2</v>
      </c>
      <c r="BW130" s="492">
        <v>2.5000000000000001E-2</v>
      </c>
      <c r="BX130" s="492">
        <v>2.5000000000000001E-2</v>
      </c>
      <c r="BY130" s="492">
        <v>2.5000000000000001E-2</v>
      </c>
      <c r="BZ130" s="492">
        <v>2.5000000000000001E-2</v>
      </c>
      <c r="CA130" s="617">
        <v>2.5000000000000001E-2</v>
      </c>
      <c r="CB130" s="617">
        <v>2.5000000000000001E-2</v>
      </c>
      <c r="CC130" s="617">
        <v>2.5000000000000001E-2</v>
      </c>
      <c r="CD130" s="1161">
        <v>2.5000000000000001E-2</v>
      </c>
    </row>
    <row r="131" spans="1:82" x14ac:dyDescent="0.2">
      <c r="A131" s="260"/>
      <c r="B131" s="269" t="s">
        <v>1</v>
      </c>
      <c r="C131" s="270">
        <v>164966422</v>
      </c>
      <c r="D131" s="270">
        <v>66753996</v>
      </c>
      <c r="E131" s="559">
        <v>2.8000000000000001E-2</v>
      </c>
      <c r="F131" s="527">
        <v>2.8000000000000001E-2</v>
      </c>
      <c r="G131" s="560">
        <v>2.8000000000000001E-2</v>
      </c>
      <c r="H131" s="517">
        <v>2.8000000000000001E-2</v>
      </c>
      <c r="I131" s="553">
        <v>2.8000000000000001E-2</v>
      </c>
      <c r="J131" s="571">
        <v>2.7E-2</v>
      </c>
      <c r="K131" s="561">
        <v>2.7E-2</v>
      </c>
      <c r="L131" s="518">
        <v>2.7E-2</v>
      </c>
      <c r="M131" s="524">
        <v>2.7E-2</v>
      </c>
      <c r="N131" s="554">
        <v>2.7E-2</v>
      </c>
      <c r="O131" s="519">
        <v>2.5999999999999999E-2</v>
      </c>
      <c r="P131" s="501">
        <v>2.5999999999999999E-2</v>
      </c>
      <c r="Q131" s="532">
        <v>2.5999999999999999E-2</v>
      </c>
      <c r="R131" s="520">
        <v>2.5999999999999999E-2</v>
      </c>
      <c r="S131" s="520">
        <v>2.5999999999999999E-2</v>
      </c>
      <c r="T131" s="873">
        <v>2.5999999999999999E-2</v>
      </c>
      <c r="U131" s="260"/>
      <c r="V131" s="269" t="s">
        <v>1</v>
      </c>
      <c r="W131" s="270">
        <v>164966422</v>
      </c>
      <c r="X131" s="270">
        <v>66753996</v>
      </c>
      <c r="Y131" s="547">
        <v>0.03</v>
      </c>
      <c r="Z131" s="527">
        <v>0.03</v>
      </c>
      <c r="AA131" s="608">
        <v>0.03</v>
      </c>
      <c r="AB131" s="517">
        <v>2.9000000000000001E-2</v>
      </c>
      <c r="AC131" s="553">
        <v>2.9000000000000001E-2</v>
      </c>
      <c r="AD131" s="571">
        <v>2.9000000000000001E-2</v>
      </c>
      <c r="AE131" s="518">
        <v>2.9000000000000001E-2</v>
      </c>
      <c r="AF131" s="524">
        <v>2.8000000000000001E-2</v>
      </c>
      <c r="AG131" s="554">
        <v>2.8000000000000001E-2</v>
      </c>
      <c r="AH131" s="519">
        <v>2.8000000000000001E-2</v>
      </c>
      <c r="AI131" s="501">
        <v>2.8000000000000001E-2</v>
      </c>
      <c r="AJ131" s="532">
        <v>2.7E-2</v>
      </c>
      <c r="AK131" s="520">
        <v>2.7E-2</v>
      </c>
      <c r="AL131" s="533">
        <v>2.7E-2</v>
      </c>
      <c r="AM131" s="490">
        <v>2.7E-2</v>
      </c>
      <c r="AN131" s="1162">
        <v>2.7E-2</v>
      </c>
      <c r="AO131" s="260"/>
      <c r="AP131" s="260"/>
      <c r="AQ131" s="269" t="s">
        <v>1</v>
      </c>
      <c r="AR131" s="270">
        <v>164966422</v>
      </c>
      <c r="AS131" s="270">
        <v>66753996</v>
      </c>
      <c r="AT131" s="547">
        <v>3.1E-2</v>
      </c>
      <c r="AU131" s="527">
        <v>3.1E-2</v>
      </c>
      <c r="AV131" s="608">
        <v>0.03</v>
      </c>
      <c r="AW131" s="517">
        <v>0.03</v>
      </c>
      <c r="AX131" s="553">
        <v>0.03</v>
      </c>
      <c r="AY131" s="571">
        <v>2.9000000000000001E-2</v>
      </c>
      <c r="AZ131" s="518">
        <v>2.9000000000000001E-2</v>
      </c>
      <c r="BA131" s="524">
        <v>2.9000000000000001E-2</v>
      </c>
      <c r="BB131" s="581">
        <v>2.9000000000000001E-2</v>
      </c>
      <c r="BC131" s="519">
        <v>2.8000000000000001E-2</v>
      </c>
      <c r="BD131" s="532">
        <v>2.8000000000000001E-2</v>
      </c>
      <c r="BE131" s="1163">
        <v>2.8000000000000001E-2</v>
      </c>
      <c r="BF131" s="533">
        <v>2.8000000000000001E-2</v>
      </c>
      <c r="BG131" s="490">
        <v>2.7E-2</v>
      </c>
      <c r="BH131" s="490">
        <v>2.7E-2</v>
      </c>
      <c r="BI131" s="1164">
        <v>2.7E-2</v>
      </c>
      <c r="BJ131" s="260"/>
      <c r="BK131" s="260"/>
      <c r="BL131" s="269" t="s">
        <v>1</v>
      </c>
      <c r="BM131" s="270">
        <v>164966422</v>
      </c>
      <c r="BN131" s="270">
        <v>66753996</v>
      </c>
      <c r="BO131" s="547">
        <v>3.2000000000000001E-2</v>
      </c>
      <c r="BP131" s="559">
        <v>3.2000000000000001E-2</v>
      </c>
      <c r="BQ131" s="608">
        <v>3.2000000000000001E-2</v>
      </c>
      <c r="BR131" s="517">
        <v>3.1E-2</v>
      </c>
      <c r="BS131" s="553">
        <v>3.1E-2</v>
      </c>
      <c r="BT131" s="561">
        <v>0.03</v>
      </c>
      <c r="BU131" s="518">
        <v>0.03</v>
      </c>
      <c r="BV131" s="554">
        <v>0.03</v>
      </c>
      <c r="BW131" s="519">
        <v>2.9000000000000001E-2</v>
      </c>
      <c r="BX131" s="501">
        <v>2.9000000000000001E-2</v>
      </c>
      <c r="BY131" s="532">
        <v>2.9000000000000001E-2</v>
      </c>
      <c r="BZ131" s="533">
        <v>2.8000000000000001E-2</v>
      </c>
      <c r="CA131" s="490">
        <v>2.8000000000000001E-2</v>
      </c>
      <c r="CB131" s="509">
        <v>2.8000000000000001E-2</v>
      </c>
      <c r="CC131" s="510">
        <v>2.8000000000000001E-2</v>
      </c>
      <c r="CD131" s="1165">
        <v>2.7E-2</v>
      </c>
    </row>
    <row r="132" spans="1:82" x14ac:dyDescent="0.2">
      <c r="A132" s="260"/>
      <c r="B132" s="269" t="s">
        <v>2</v>
      </c>
      <c r="C132" s="270">
        <v>111850438</v>
      </c>
      <c r="D132" s="270">
        <v>59635518</v>
      </c>
      <c r="E132" s="543">
        <v>5.0999999999999997E-2</v>
      </c>
      <c r="F132" s="1166">
        <v>4.9000000000000002E-2</v>
      </c>
      <c r="G132" s="1014">
        <v>4.8000000000000001E-2</v>
      </c>
      <c r="H132" s="1167">
        <v>4.5999999999999999E-2</v>
      </c>
      <c r="I132" s="1015">
        <v>4.4999999999999998E-2</v>
      </c>
      <c r="J132" s="575">
        <v>4.3999999999999997E-2</v>
      </c>
      <c r="K132" s="1168">
        <v>4.2999999999999997E-2</v>
      </c>
      <c r="L132" s="1169">
        <v>4.2000000000000003E-2</v>
      </c>
      <c r="M132" s="1045">
        <v>4.1000000000000002E-2</v>
      </c>
      <c r="N132" s="1170">
        <v>0.04</v>
      </c>
      <c r="O132" s="1041">
        <v>3.9E-2</v>
      </c>
      <c r="P132" s="576">
        <v>3.7999999999999999E-2</v>
      </c>
      <c r="Q132" s="842">
        <v>3.6999999999999998E-2</v>
      </c>
      <c r="R132" s="824">
        <v>3.6999999999999998E-2</v>
      </c>
      <c r="S132" s="1026">
        <v>3.5999999999999997E-2</v>
      </c>
      <c r="T132" s="1171">
        <v>3.5999999999999997E-2</v>
      </c>
      <c r="U132" s="260"/>
      <c r="V132" s="269" t="s">
        <v>2</v>
      </c>
      <c r="W132" s="270">
        <v>111850438</v>
      </c>
      <c r="X132" s="270">
        <v>59635518</v>
      </c>
      <c r="Y132" s="543">
        <v>5.8000000000000003E-2</v>
      </c>
      <c r="Z132" s="826">
        <v>5.6000000000000001E-2</v>
      </c>
      <c r="AA132" s="1020">
        <v>5.3999999999999999E-2</v>
      </c>
      <c r="AB132" s="1172">
        <v>5.1999999999999998E-2</v>
      </c>
      <c r="AC132" s="856">
        <v>0.05</v>
      </c>
      <c r="AD132" s="1168">
        <v>4.8000000000000001E-2</v>
      </c>
      <c r="AE132" s="1036">
        <v>4.7E-2</v>
      </c>
      <c r="AF132" s="823">
        <v>4.4999999999999998E-2</v>
      </c>
      <c r="AG132" s="1173">
        <v>4.3999999999999997E-2</v>
      </c>
      <c r="AH132" s="1025">
        <v>4.2999999999999997E-2</v>
      </c>
      <c r="AI132" s="1042">
        <v>4.2000000000000003E-2</v>
      </c>
      <c r="AJ132" s="537">
        <v>4.1000000000000002E-2</v>
      </c>
      <c r="AK132" s="558">
        <v>0.04</v>
      </c>
      <c r="AL132" s="832">
        <v>3.9E-2</v>
      </c>
      <c r="AM132" s="1027">
        <v>3.7999999999999999E-2</v>
      </c>
      <c r="AN132" s="1174">
        <v>3.6999999999999998E-2</v>
      </c>
      <c r="AO132" s="260"/>
      <c r="AP132" s="260"/>
      <c r="AQ132" s="269" t="s">
        <v>2</v>
      </c>
      <c r="AR132" s="270">
        <v>111850438</v>
      </c>
      <c r="AS132" s="270">
        <v>59635518</v>
      </c>
      <c r="AT132" s="543">
        <v>6.0999999999999999E-2</v>
      </c>
      <c r="AU132" s="826">
        <v>5.8000000000000003E-2</v>
      </c>
      <c r="AV132" s="1175">
        <v>5.6000000000000001E-2</v>
      </c>
      <c r="AW132" s="1176">
        <v>5.2999999999999999E-2</v>
      </c>
      <c r="AX132" s="830">
        <v>5.0999999999999997E-2</v>
      </c>
      <c r="AY132" s="640">
        <v>4.9000000000000002E-2</v>
      </c>
      <c r="AZ132" s="1021">
        <v>4.8000000000000001E-2</v>
      </c>
      <c r="BA132" s="1170">
        <v>4.5999999999999999E-2</v>
      </c>
      <c r="BB132" s="853">
        <v>4.4999999999999998E-2</v>
      </c>
      <c r="BC132" s="1177">
        <v>4.2999999999999997E-2</v>
      </c>
      <c r="BD132" s="824">
        <v>4.2000000000000003E-2</v>
      </c>
      <c r="BE132" s="849">
        <v>4.1000000000000002E-2</v>
      </c>
      <c r="BF132" s="843">
        <v>0.04</v>
      </c>
      <c r="BG132" s="1027">
        <v>3.9E-2</v>
      </c>
      <c r="BH132" s="825">
        <v>3.7999999999999999E-2</v>
      </c>
      <c r="BI132" s="1178">
        <v>3.6999999999999998E-2</v>
      </c>
      <c r="BJ132" s="260"/>
      <c r="BK132" s="260"/>
      <c r="BL132" s="269" t="s">
        <v>2</v>
      </c>
      <c r="BM132" s="270">
        <v>111850438</v>
      </c>
      <c r="BN132" s="270">
        <v>59635518</v>
      </c>
      <c r="BO132" s="543">
        <v>6.6000000000000003E-2</v>
      </c>
      <c r="BP132" s="1179">
        <v>6.3E-2</v>
      </c>
      <c r="BQ132" s="1180">
        <v>5.8999999999999997E-2</v>
      </c>
      <c r="BR132" s="822">
        <v>5.7000000000000002E-2</v>
      </c>
      <c r="BS132" s="1181">
        <v>5.3999999999999999E-2</v>
      </c>
      <c r="BT132" s="544">
        <v>5.1999999999999998E-2</v>
      </c>
      <c r="BU132" s="823">
        <v>0.05</v>
      </c>
      <c r="BV132" s="876">
        <v>4.8000000000000001E-2</v>
      </c>
      <c r="BW132" s="1177">
        <v>4.5999999999999999E-2</v>
      </c>
      <c r="BX132" s="824">
        <v>4.4999999999999998E-2</v>
      </c>
      <c r="BY132" s="558">
        <v>4.3999999999999997E-2</v>
      </c>
      <c r="BZ132" s="828">
        <v>4.2000000000000003E-2</v>
      </c>
      <c r="CA132" s="887">
        <v>4.1000000000000002E-2</v>
      </c>
      <c r="CB132" s="844">
        <v>0.04</v>
      </c>
      <c r="CC132" s="1040">
        <v>3.9E-2</v>
      </c>
      <c r="CD132" s="1182">
        <v>3.7999999999999999E-2</v>
      </c>
    </row>
    <row r="133" spans="1:82" x14ac:dyDescent="0.2">
      <c r="A133" s="260"/>
      <c r="B133" s="269" t="s">
        <v>3</v>
      </c>
      <c r="C133" s="270">
        <v>477796928</v>
      </c>
      <c r="D133" s="270">
        <v>234399775</v>
      </c>
      <c r="E133" s="837">
        <v>0.03</v>
      </c>
      <c r="F133" s="579">
        <v>0.03</v>
      </c>
      <c r="G133" s="570">
        <v>2.9000000000000001E-2</v>
      </c>
      <c r="H133" s="838">
        <v>2.9000000000000001E-2</v>
      </c>
      <c r="I133" s="552">
        <v>2.9000000000000001E-2</v>
      </c>
      <c r="J133" s="602">
        <v>2.9000000000000001E-2</v>
      </c>
      <c r="K133" s="839">
        <v>2.8000000000000001E-2</v>
      </c>
      <c r="L133" s="527">
        <v>2.8000000000000001E-2</v>
      </c>
      <c r="M133" s="560">
        <v>2.8000000000000001E-2</v>
      </c>
      <c r="N133" s="517">
        <v>2.8000000000000001E-2</v>
      </c>
      <c r="O133" s="553">
        <v>2.7E-2</v>
      </c>
      <c r="P133" s="571">
        <v>2.7E-2</v>
      </c>
      <c r="Q133" s="518">
        <v>2.7E-2</v>
      </c>
      <c r="R133" s="524">
        <v>2.7E-2</v>
      </c>
      <c r="S133" s="554">
        <v>2.7E-2</v>
      </c>
      <c r="T133" s="1183">
        <v>2.7E-2</v>
      </c>
      <c r="U133" s="260"/>
      <c r="V133" s="269" t="s">
        <v>3</v>
      </c>
      <c r="W133" s="270">
        <v>477796928</v>
      </c>
      <c r="X133" s="270">
        <v>234399775</v>
      </c>
      <c r="Y133" s="818">
        <v>3.3000000000000002E-2</v>
      </c>
      <c r="Z133" s="579">
        <v>3.2000000000000001E-2</v>
      </c>
      <c r="AA133" s="570">
        <v>3.2000000000000001E-2</v>
      </c>
      <c r="AB133" s="838">
        <v>3.1E-2</v>
      </c>
      <c r="AC133" s="552">
        <v>3.1E-2</v>
      </c>
      <c r="AD133" s="547">
        <v>0.03</v>
      </c>
      <c r="AE133" s="559">
        <v>0.03</v>
      </c>
      <c r="AF133" s="608">
        <v>0.03</v>
      </c>
      <c r="AG133" s="517">
        <v>2.9000000000000001E-2</v>
      </c>
      <c r="AH133" s="553">
        <v>2.9000000000000001E-2</v>
      </c>
      <c r="AI133" s="614">
        <v>2.9000000000000001E-2</v>
      </c>
      <c r="AJ133" s="518">
        <v>2.9000000000000001E-2</v>
      </c>
      <c r="AK133" s="524">
        <v>2.8000000000000001E-2</v>
      </c>
      <c r="AL133" s="519">
        <v>2.8000000000000001E-2</v>
      </c>
      <c r="AM133" s="501">
        <v>2.8000000000000001E-2</v>
      </c>
      <c r="AN133" s="1034">
        <v>2.8000000000000001E-2</v>
      </c>
      <c r="AO133" s="260"/>
      <c r="AP133" s="260"/>
      <c r="AQ133" s="269" t="s">
        <v>3</v>
      </c>
      <c r="AR133" s="270">
        <v>477796928</v>
      </c>
      <c r="AS133" s="270">
        <v>234399775</v>
      </c>
      <c r="AT133" s="564">
        <v>3.3000000000000002E-2</v>
      </c>
      <c r="AU133" s="579">
        <v>3.3000000000000002E-2</v>
      </c>
      <c r="AV133" s="570">
        <v>3.2000000000000001E-2</v>
      </c>
      <c r="AW133" s="838">
        <v>3.2000000000000001E-2</v>
      </c>
      <c r="AX133" s="552">
        <v>3.2000000000000001E-2</v>
      </c>
      <c r="AY133" s="547">
        <v>3.1E-2</v>
      </c>
      <c r="AZ133" s="527">
        <v>3.1E-2</v>
      </c>
      <c r="BA133" s="608">
        <v>0.03</v>
      </c>
      <c r="BB133" s="517">
        <v>0.03</v>
      </c>
      <c r="BC133" s="571">
        <v>0.03</v>
      </c>
      <c r="BD133" s="561">
        <v>2.9000000000000001E-2</v>
      </c>
      <c r="BE133" s="518">
        <v>2.9000000000000001E-2</v>
      </c>
      <c r="BF133" s="554">
        <v>2.9000000000000001E-2</v>
      </c>
      <c r="BG133" s="519">
        <v>2.8000000000000001E-2</v>
      </c>
      <c r="BH133" s="501">
        <v>2.8000000000000001E-2</v>
      </c>
      <c r="BI133" s="1034">
        <v>2.8000000000000001E-2</v>
      </c>
      <c r="BJ133" s="260"/>
      <c r="BK133" s="260"/>
      <c r="BL133" s="269" t="s">
        <v>3</v>
      </c>
      <c r="BM133" s="270">
        <v>477796928</v>
      </c>
      <c r="BN133" s="270">
        <v>234399775</v>
      </c>
      <c r="BO133" s="564">
        <v>3.5000000000000003E-2</v>
      </c>
      <c r="BP133" s="579">
        <v>3.4000000000000002E-2</v>
      </c>
      <c r="BQ133" s="570">
        <v>3.4000000000000002E-2</v>
      </c>
      <c r="BR133" s="838">
        <v>3.3000000000000002E-2</v>
      </c>
      <c r="BS133" s="552">
        <v>3.3000000000000002E-2</v>
      </c>
      <c r="BT133" s="547">
        <v>3.2000000000000001E-2</v>
      </c>
      <c r="BU133" s="527">
        <v>3.2000000000000001E-2</v>
      </c>
      <c r="BV133" s="888">
        <v>3.1E-2</v>
      </c>
      <c r="BW133" s="553">
        <v>3.1E-2</v>
      </c>
      <c r="BX133" s="614">
        <v>0.03</v>
      </c>
      <c r="BY133" s="518">
        <v>0.03</v>
      </c>
      <c r="BZ133" s="554">
        <v>0.03</v>
      </c>
      <c r="CA133" s="519">
        <v>2.9000000000000001E-2</v>
      </c>
      <c r="CB133" s="501">
        <v>2.9000000000000001E-2</v>
      </c>
      <c r="CC133" s="520">
        <v>2.9000000000000001E-2</v>
      </c>
      <c r="CD133" s="873">
        <v>2.8000000000000001E-2</v>
      </c>
    </row>
    <row r="134" spans="1:82" x14ac:dyDescent="0.2">
      <c r="A134" s="260"/>
      <c r="B134" s="269" t="s">
        <v>4</v>
      </c>
      <c r="C134" s="270">
        <v>164227661</v>
      </c>
      <c r="D134" s="270">
        <v>96491379</v>
      </c>
      <c r="E134" s="1181">
        <v>4.2999999999999997E-2</v>
      </c>
      <c r="F134" s="1184">
        <v>4.2000000000000003E-2</v>
      </c>
      <c r="G134" s="1021">
        <v>4.1000000000000002E-2</v>
      </c>
      <c r="H134" s="1185">
        <v>0.04</v>
      </c>
      <c r="I134" s="531">
        <v>3.9E-2</v>
      </c>
      <c r="J134" s="831">
        <v>3.7999999999999999E-2</v>
      </c>
      <c r="K134" s="1177">
        <v>3.7999999999999999E-2</v>
      </c>
      <c r="L134" s="1186">
        <v>3.6999999999999998E-2</v>
      </c>
      <c r="M134" s="1187">
        <v>3.5999999999999997E-2</v>
      </c>
      <c r="N134" s="558">
        <v>3.5999999999999997E-2</v>
      </c>
      <c r="O134" s="843">
        <v>3.5000000000000003E-2</v>
      </c>
      <c r="P134" s="577">
        <v>3.5000000000000003E-2</v>
      </c>
      <c r="Q134" s="858">
        <v>3.4000000000000002E-2</v>
      </c>
      <c r="R134" s="1022">
        <v>3.4000000000000002E-2</v>
      </c>
      <c r="S134" s="568">
        <v>3.3000000000000002E-2</v>
      </c>
      <c r="T134" s="1188">
        <v>3.3000000000000002E-2</v>
      </c>
      <c r="U134" s="260"/>
      <c r="V134" s="269" t="s">
        <v>4</v>
      </c>
      <c r="W134" s="270">
        <v>164227661</v>
      </c>
      <c r="X134" s="270">
        <v>96491379</v>
      </c>
      <c r="Y134" s="1181">
        <v>4.9000000000000002E-2</v>
      </c>
      <c r="Z134" s="1189">
        <v>4.7E-2</v>
      </c>
      <c r="AA134" s="1047">
        <v>4.5999999999999999E-2</v>
      </c>
      <c r="AB134" s="857">
        <v>4.3999999999999997E-2</v>
      </c>
      <c r="AC134" s="853">
        <v>4.2999999999999997E-2</v>
      </c>
      <c r="AD134" s="1177">
        <v>4.2000000000000003E-2</v>
      </c>
      <c r="AE134" s="1037">
        <v>4.1000000000000002E-2</v>
      </c>
      <c r="AF134" s="1026">
        <v>0.04</v>
      </c>
      <c r="AG134" s="1046">
        <v>3.9E-2</v>
      </c>
      <c r="AH134" s="1038">
        <v>3.7999999999999999E-2</v>
      </c>
      <c r="AI134" s="858">
        <v>3.7999999999999999E-2</v>
      </c>
      <c r="AJ134" s="1022">
        <v>3.6999999999999998E-2</v>
      </c>
      <c r="AK134" s="879">
        <v>3.5999999999999997E-2</v>
      </c>
      <c r="AL134" s="538">
        <v>3.5000000000000003E-2</v>
      </c>
      <c r="AM134" s="578">
        <v>3.5000000000000003E-2</v>
      </c>
      <c r="AN134" s="1190">
        <v>3.4000000000000002E-2</v>
      </c>
      <c r="AO134" s="260"/>
      <c r="AP134" s="260"/>
      <c r="AQ134" s="269" t="s">
        <v>4</v>
      </c>
      <c r="AR134" s="270">
        <v>164227661</v>
      </c>
      <c r="AS134" s="270">
        <v>96491379</v>
      </c>
      <c r="AT134" s="1181">
        <v>0.05</v>
      </c>
      <c r="AU134" s="1169">
        <v>4.9000000000000002E-2</v>
      </c>
      <c r="AV134" s="1016">
        <v>4.7E-2</v>
      </c>
      <c r="AW134" s="1191">
        <v>4.5999999999999999E-2</v>
      </c>
      <c r="AX134" s="831">
        <v>4.3999999999999997E-2</v>
      </c>
      <c r="AY134" s="842">
        <v>4.2999999999999997E-2</v>
      </c>
      <c r="AZ134" s="1192">
        <v>4.2000000000000003E-2</v>
      </c>
      <c r="BA134" s="558">
        <v>4.1000000000000002E-2</v>
      </c>
      <c r="BB134" s="832">
        <v>0.04</v>
      </c>
      <c r="BC134" s="1027">
        <v>3.9E-2</v>
      </c>
      <c r="BD134" s="1039">
        <v>3.7999999999999999E-2</v>
      </c>
      <c r="BE134" s="568">
        <v>3.6999999999999998E-2</v>
      </c>
      <c r="BF134" s="516">
        <v>3.6999999999999998E-2</v>
      </c>
      <c r="BG134" s="621">
        <v>3.5999999999999997E-2</v>
      </c>
      <c r="BH134" s="546">
        <v>3.5000000000000003E-2</v>
      </c>
      <c r="BI134" s="1193">
        <v>3.5000000000000003E-2</v>
      </c>
      <c r="BJ134" s="260"/>
      <c r="BK134" s="260"/>
      <c r="BL134" s="269" t="s">
        <v>4</v>
      </c>
      <c r="BM134" s="270">
        <v>164227661</v>
      </c>
      <c r="BN134" s="270">
        <v>96491379</v>
      </c>
      <c r="BO134" s="1181">
        <v>5.3999999999999999E-2</v>
      </c>
      <c r="BP134" s="1194">
        <v>5.1999999999999998E-2</v>
      </c>
      <c r="BQ134" s="1195">
        <v>0.05</v>
      </c>
      <c r="BR134" s="1173">
        <v>4.8000000000000001E-2</v>
      </c>
      <c r="BS134" s="1196">
        <v>4.7E-2</v>
      </c>
      <c r="BT134" s="1186">
        <v>4.4999999999999998E-2</v>
      </c>
      <c r="BU134" s="1026">
        <v>4.3999999999999997E-2</v>
      </c>
      <c r="BV134" s="1197">
        <v>4.2999999999999997E-2</v>
      </c>
      <c r="BW134" s="1027">
        <v>4.2000000000000003E-2</v>
      </c>
      <c r="BX134" s="1039">
        <v>0.04</v>
      </c>
      <c r="BY134" s="1018">
        <v>3.9E-2</v>
      </c>
      <c r="BZ134" s="516">
        <v>3.9E-2</v>
      </c>
      <c r="CA134" s="578">
        <v>3.7999999999999999E-2</v>
      </c>
      <c r="CB134" s="835">
        <v>3.6999999999999998E-2</v>
      </c>
      <c r="CC134" s="569">
        <v>3.5999999999999997E-2</v>
      </c>
      <c r="CD134" s="1198">
        <v>3.5000000000000003E-2</v>
      </c>
    </row>
    <row r="135" spans="1:82" x14ac:dyDescent="0.2">
      <c r="A135" s="260"/>
      <c r="B135" s="269" t="s">
        <v>5</v>
      </c>
      <c r="C135" s="270">
        <v>407962628</v>
      </c>
      <c r="D135" s="270">
        <v>187745918</v>
      </c>
      <c r="E135" s="851">
        <v>2.5000000000000001E-2</v>
      </c>
      <c r="F135" s="583">
        <v>2.5000000000000001E-2</v>
      </c>
      <c r="G135" s="886">
        <v>2.4E-2</v>
      </c>
      <c r="H135" s="636">
        <v>2.4E-2</v>
      </c>
      <c r="I135" s="613">
        <v>2.4E-2</v>
      </c>
      <c r="J135" s="878">
        <v>2.4E-2</v>
      </c>
      <c r="K135" s="1009">
        <v>2.4E-2</v>
      </c>
      <c r="L135" s="807">
        <v>2.4E-2</v>
      </c>
      <c r="M135" s="616">
        <v>2.4E-2</v>
      </c>
      <c r="N135" s="521">
        <v>2.4E-2</v>
      </c>
      <c r="O135" s="572">
        <v>2.4E-2</v>
      </c>
      <c r="P135" s="492">
        <v>2.4E-2</v>
      </c>
      <c r="Q135" s="492">
        <v>2.4E-2</v>
      </c>
      <c r="R135" s="617">
        <v>2.3E-2</v>
      </c>
      <c r="S135" s="880">
        <v>2.3E-2</v>
      </c>
      <c r="T135" s="1077">
        <v>2.3E-2</v>
      </c>
      <c r="U135" s="260"/>
      <c r="V135" s="269" t="s">
        <v>5</v>
      </c>
      <c r="W135" s="270">
        <v>407962628</v>
      </c>
      <c r="X135" s="270">
        <v>187745918</v>
      </c>
      <c r="Y135" s="502">
        <v>2.5999999999999999E-2</v>
      </c>
      <c r="Z135" s="851">
        <v>2.5999999999999999E-2</v>
      </c>
      <c r="AA135" s="583">
        <v>2.5999999999999999E-2</v>
      </c>
      <c r="AB135" s="886">
        <v>2.5000000000000001E-2</v>
      </c>
      <c r="AC135" s="636">
        <v>2.5000000000000001E-2</v>
      </c>
      <c r="AD135" s="878">
        <v>2.5000000000000001E-2</v>
      </c>
      <c r="AE135" s="1009">
        <v>2.5000000000000001E-2</v>
      </c>
      <c r="AF135" s="807">
        <v>2.5000000000000001E-2</v>
      </c>
      <c r="AG135" s="638">
        <v>2.5000000000000001E-2</v>
      </c>
      <c r="AH135" s="521">
        <v>2.5000000000000001E-2</v>
      </c>
      <c r="AI135" s="572">
        <v>2.4E-2</v>
      </c>
      <c r="AJ135" s="492">
        <v>2.4E-2</v>
      </c>
      <c r="AK135" s="617">
        <v>2.4E-2</v>
      </c>
      <c r="AL135" s="617">
        <v>2.4E-2</v>
      </c>
      <c r="AM135" s="528">
        <v>2.4E-2</v>
      </c>
      <c r="AN135" s="1077">
        <v>2.4E-2</v>
      </c>
      <c r="AO135" s="260"/>
      <c r="AP135" s="260"/>
      <c r="AQ135" s="269" t="s">
        <v>5</v>
      </c>
      <c r="AR135" s="270">
        <v>407962628</v>
      </c>
      <c r="AS135" s="270">
        <v>187745918</v>
      </c>
      <c r="AT135" s="502">
        <v>2.5999999999999999E-2</v>
      </c>
      <c r="AU135" s="535">
        <v>2.5999999999999999E-2</v>
      </c>
      <c r="AV135" s="583">
        <v>2.5999999999999999E-2</v>
      </c>
      <c r="AW135" s="886">
        <v>2.5999999999999999E-2</v>
      </c>
      <c r="AX135" s="636">
        <v>2.5999999999999999E-2</v>
      </c>
      <c r="AY135" s="613">
        <v>2.5000000000000001E-2</v>
      </c>
      <c r="AZ135" s="878">
        <v>2.5000000000000001E-2</v>
      </c>
      <c r="BA135" s="807">
        <v>2.5000000000000001E-2</v>
      </c>
      <c r="BB135" s="638">
        <v>2.5000000000000001E-2</v>
      </c>
      <c r="BC135" s="521">
        <v>2.5000000000000001E-2</v>
      </c>
      <c r="BD135" s="572">
        <v>2.5000000000000001E-2</v>
      </c>
      <c r="BE135" s="492">
        <v>2.5000000000000001E-2</v>
      </c>
      <c r="BF135" s="617">
        <v>2.4E-2</v>
      </c>
      <c r="BG135" s="880">
        <v>2.4E-2</v>
      </c>
      <c r="BH135" s="528">
        <v>2.4E-2</v>
      </c>
      <c r="BI135" s="1077">
        <v>2.4E-2</v>
      </c>
      <c r="BJ135" s="260"/>
      <c r="BK135" s="260"/>
      <c r="BL135" s="269" t="s">
        <v>5</v>
      </c>
      <c r="BM135" s="270">
        <v>407962628</v>
      </c>
      <c r="BN135" s="270">
        <v>187745918</v>
      </c>
      <c r="BO135" s="491">
        <v>2.7E-2</v>
      </c>
      <c r="BP135" s="535">
        <v>2.7E-2</v>
      </c>
      <c r="BQ135" s="851">
        <v>2.7E-2</v>
      </c>
      <c r="BR135" s="886">
        <v>2.5999999999999999E-2</v>
      </c>
      <c r="BS135" s="636">
        <v>2.5999999999999999E-2</v>
      </c>
      <c r="BT135" s="613">
        <v>2.5999999999999999E-2</v>
      </c>
      <c r="BU135" s="1009">
        <v>2.5999999999999999E-2</v>
      </c>
      <c r="BV135" s="807">
        <v>2.5999999999999999E-2</v>
      </c>
      <c r="BW135" s="616">
        <v>2.5000000000000001E-2</v>
      </c>
      <c r="BX135" s="521">
        <v>2.5000000000000001E-2</v>
      </c>
      <c r="BY135" s="572">
        <v>2.5000000000000001E-2</v>
      </c>
      <c r="BZ135" s="492">
        <v>2.5000000000000001E-2</v>
      </c>
      <c r="CA135" s="617">
        <v>2.5000000000000001E-2</v>
      </c>
      <c r="CB135" s="528">
        <v>2.5000000000000001E-2</v>
      </c>
      <c r="CC135" s="612">
        <v>2.4E-2</v>
      </c>
      <c r="CD135" s="1078">
        <v>2.4E-2</v>
      </c>
    </row>
    <row r="136" spans="1:82" x14ac:dyDescent="0.2">
      <c r="A136" s="260"/>
      <c r="B136" s="269" t="s">
        <v>6</v>
      </c>
      <c r="C136" s="270">
        <v>295355340</v>
      </c>
      <c r="D136" s="270">
        <v>30753929</v>
      </c>
      <c r="E136" s="500">
        <v>1.2E-2</v>
      </c>
      <c r="F136" s="1049">
        <v>1.2E-2</v>
      </c>
      <c r="G136" s="866">
        <v>1.2E-2</v>
      </c>
      <c r="H136" s="1050">
        <v>1.2E-2</v>
      </c>
      <c r="I136" s="882">
        <v>1.2E-2</v>
      </c>
      <c r="J136" s="550">
        <v>1.2E-2</v>
      </c>
      <c r="K136" s="498">
        <v>1.2999999999999999E-2</v>
      </c>
      <c r="L136" s="1053">
        <v>1.2999999999999999E-2</v>
      </c>
      <c r="M136" s="809">
        <v>1.2999999999999999E-2</v>
      </c>
      <c r="N136" s="508">
        <v>1.2999999999999999E-2</v>
      </c>
      <c r="O136" s="1054">
        <v>1.2999999999999999E-2</v>
      </c>
      <c r="P136" s="812">
        <v>1.2999999999999999E-2</v>
      </c>
      <c r="Q136" s="1072">
        <v>1.2999999999999999E-2</v>
      </c>
      <c r="R136" s="806">
        <v>1.2999999999999999E-2</v>
      </c>
      <c r="S136" s="1056">
        <v>1.4E-2</v>
      </c>
      <c r="T136" s="1199">
        <v>1.4E-2</v>
      </c>
      <c r="U136" s="260"/>
      <c r="V136" s="269" t="s">
        <v>6</v>
      </c>
      <c r="W136" s="270">
        <v>295355340</v>
      </c>
      <c r="X136" s="270">
        <v>30753929</v>
      </c>
      <c r="Y136" s="500">
        <v>0.01</v>
      </c>
      <c r="Z136" s="1049">
        <v>0.01</v>
      </c>
      <c r="AA136" s="893">
        <v>0.01</v>
      </c>
      <c r="AB136" s="1051">
        <v>0.01</v>
      </c>
      <c r="AC136" s="1052">
        <v>1.0999999999999999E-2</v>
      </c>
      <c r="AD136" s="498">
        <v>1.0999999999999999E-2</v>
      </c>
      <c r="AE136" s="1053">
        <v>1.0999999999999999E-2</v>
      </c>
      <c r="AF136" s="809">
        <v>1.0999999999999999E-2</v>
      </c>
      <c r="AG136" s="508">
        <v>1.0999999999999999E-2</v>
      </c>
      <c r="AH136" s="812">
        <v>1.0999999999999999E-2</v>
      </c>
      <c r="AI136" s="1072">
        <v>1.2E-2</v>
      </c>
      <c r="AJ136" s="806">
        <v>1.2E-2</v>
      </c>
      <c r="AK136" s="1056">
        <v>1.2E-2</v>
      </c>
      <c r="AL136" s="584">
        <v>1.2E-2</v>
      </c>
      <c r="AM136" s="497">
        <v>1.2E-2</v>
      </c>
      <c r="AN136" s="1200">
        <v>1.2E-2</v>
      </c>
      <c r="AO136" s="260"/>
      <c r="AP136" s="260"/>
      <c r="AQ136" s="269" t="s">
        <v>6</v>
      </c>
      <c r="AR136" s="270">
        <v>295355340</v>
      </c>
      <c r="AS136" s="270">
        <v>30753929</v>
      </c>
      <c r="AT136" s="500">
        <v>8.9999999999999993E-3</v>
      </c>
      <c r="AU136" s="1049">
        <v>8.9999999999999993E-3</v>
      </c>
      <c r="AV136" s="893">
        <v>8.9999999999999993E-3</v>
      </c>
      <c r="AW136" s="882">
        <v>0.01</v>
      </c>
      <c r="AX136" s="1052">
        <v>0.01</v>
      </c>
      <c r="AY136" s="498">
        <v>0.01</v>
      </c>
      <c r="AZ136" s="854">
        <v>0.01</v>
      </c>
      <c r="BA136" s="809">
        <v>1.0999999999999999E-2</v>
      </c>
      <c r="BB136" s="1054">
        <v>1.0999999999999999E-2</v>
      </c>
      <c r="BC136" s="812">
        <v>1.0999999999999999E-2</v>
      </c>
      <c r="BD136" s="883">
        <v>1.0999999999999999E-2</v>
      </c>
      <c r="BE136" s="806">
        <v>1.0999999999999999E-2</v>
      </c>
      <c r="BF136" s="584">
        <v>1.2E-2</v>
      </c>
      <c r="BG136" s="542">
        <v>1.2E-2</v>
      </c>
      <c r="BH136" s="497">
        <v>1.2E-2</v>
      </c>
      <c r="BI136" s="1201">
        <v>1.2E-2</v>
      </c>
      <c r="BJ136" s="260"/>
      <c r="BK136" s="260"/>
      <c r="BL136" s="269" t="s">
        <v>6</v>
      </c>
      <c r="BM136" s="270">
        <v>295355340</v>
      </c>
      <c r="BN136" s="270">
        <v>30753929</v>
      </c>
      <c r="BO136" s="500">
        <v>8.0000000000000002E-3</v>
      </c>
      <c r="BP136" s="1049">
        <v>8.0000000000000002E-3</v>
      </c>
      <c r="BQ136" s="893">
        <v>8.0000000000000002E-3</v>
      </c>
      <c r="BR136" s="882">
        <v>8.0000000000000002E-3</v>
      </c>
      <c r="BS136" s="550">
        <v>8.9999999999999993E-3</v>
      </c>
      <c r="BT136" s="1053">
        <v>8.9999999999999993E-3</v>
      </c>
      <c r="BU136" s="809">
        <v>8.9999999999999993E-3</v>
      </c>
      <c r="BV136" s="508">
        <v>0.01</v>
      </c>
      <c r="BW136" s="812">
        <v>0.01</v>
      </c>
      <c r="BX136" s="883">
        <v>0.01</v>
      </c>
      <c r="BY136" s="806">
        <v>0.01</v>
      </c>
      <c r="BZ136" s="584">
        <v>0.01</v>
      </c>
      <c r="CA136" s="1202">
        <v>1.0999999999999999E-2</v>
      </c>
      <c r="CB136" s="585">
        <v>1.0999999999999999E-2</v>
      </c>
      <c r="CC136" s="507">
        <v>1.0999999999999999E-2</v>
      </c>
      <c r="CD136" s="1203">
        <v>1.0999999999999999E-2</v>
      </c>
    </row>
    <row r="137" spans="1:82" x14ac:dyDescent="0.2">
      <c r="A137" s="260"/>
      <c r="B137" s="269" t="s">
        <v>7</v>
      </c>
      <c r="C137" s="270">
        <v>328852284</v>
      </c>
      <c r="D137" s="270">
        <v>133280716</v>
      </c>
      <c r="E137" s="520">
        <v>2.5999999999999999E-2</v>
      </c>
      <c r="F137" s="533">
        <v>2.5999999999999999E-2</v>
      </c>
      <c r="G137" s="490">
        <v>2.5999999999999999E-2</v>
      </c>
      <c r="H137" s="509">
        <v>2.5999999999999999E-2</v>
      </c>
      <c r="I137" s="534">
        <v>2.5000000000000001E-2</v>
      </c>
      <c r="J137" s="510">
        <v>2.5000000000000001E-2</v>
      </c>
      <c r="K137" s="511">
        <v>2.5000000000000001E-2</v>
      </c>
      <c r="L137" s="491">
        <v>2.5000000000000001E-2</v>
      </c>
      <c r="M137" s="502">
        <v>2.5000000000000001E-2</v>
      </c>
      <c r="N137" s="535">
        <v>2.5000000000000001E-2</v>
      </c>
      <c r="O137" s="851">
        <v>2.5000000000000001E-2</v>
      </c>
      <c r="P137" s="583">
        <v>2.5000000000000001E-2</v>
      </c>
      <c r="Q137" s="886">
        <v>2.4E-2</v>
      </c>
      <c r="R137" s="636">
        <v>2.4E-2</v>
      </c>
      <c r="S137" s="613">
        <v>2.4E-2</v>
      </c>
      <c r="T137" s="891">
        <v>2.4E-2</v>
      </c>
      <c r="U137" s="260"/>
      <c r="V137" s="269" t="s">
        <v>7</v>
      </c>
      <c r="W137" s="270">
        <v>328852284</v>
      </c>
      <c r="X137" s="270">
        <v>133280716</v>
      </c>
      <c r="Y137" s="532">
        <v>2.7E-2</v>
      </c>
      <c r="Z137" s="520">
        <v>2.7E-2</v>
      </c>
      <c r="AA137" s="533">
        <v>2.7E-2</v>
      </c>
      <c r="AB137" s="490">
        <v>2.7E-2</v>
      </c>
      <c r="AC137" s="534">
        <v>2.7E-2</v>
      </c>
      <c r="AD137" s="510">
        <v>2.5999999999999999E-2</v>
      </c>
      <c r="AE137" s="511">
        <v>2.5999999999999999E-2</v>
      </c>
      <c r="AF137" s="491">
        <v>2.5999999999999999E-2</v>
      </c>
      <c r="AG137" s="502">
        <v>2.5999999999999999E-2</v>
      </c>
      <c r="AH137" s="535">
        <v>2.5999999999999999E-2</v>
      </c>
      <c r="AI137" s="851">
        <v>2.5999999999999999E-2</v>
      </c>
      <c r="AJ137" s="583">
        <v>2.5000000000000001E-2</v>
      </c>
      <c r="AK137" s="890">
        <v>2.5000000000000001E-2</v>
      </c>
      <c r="AL137" s="613">
        <v>2.5000000000000001E-2</v>
      </c>
      <c r="AM137" s="878">
        <v>2.5000000000000001E-2</v>
      </c>
      <c r="AN137" s="1011">
        <v>2.5000000000000001E-2</v>
      </c>
      <c r="AO137" s="260"/>
      <c r="AP137" s="260"/>
      <c r="AQ137" s="269" t="s">
        <v>7</v>
      </c>
      <c r="AR137" s="270">
        <v>328852284</v>
      </c>
      <c r="AS137" s="270">
        <v>133280716</v>
      </c>
      <c r="AT137" s="532">
        <v>2.8000000000000001E-2</v>
      </c>
      <c r="AU137" s="520">
        <v>2.8000000000000001E-2</v>
      </c>
      <c r="AV137" s="533">
        <v>2.7E-2</v>
      </c>
      <c r="AW137" s="490">
        <v>2.7E-2</v>
      </c>
      <c r="AX137" s="509">
        <v>2.7E-2</v>
      </c>
      <c r="AY137" s="510">
        <v>2.7E-2</v>
      </c>
      <c r="AZ137" s="511">
        <v>2.7E-2</v>
      </c>
      <c r="BA137" s="491">
        <v>2.5999999999999999E-2</v>
      </c>
      <c r="BB137" s="502">
        <v>2.5999999999999999E-2</v>
      </c>
      <c r="BC137" s="535">
        <v>2.5999999999999999E-2</v>
      </c>
      <c r="BD137" s="851">
        <v>2.5999999999999999E-2</v>
      </c>
      <c r="BE137" s="886">
        <v>2.5999999999999999E-2</v>
      </c>
      <c r="BF137" s="636">
        <v>2.5999999999999999E-2</v>
      </c>
      <c r="BG137" s="613">
        <v>2.5000000000000001E-2</v>
      </c>
      <c r="BH137" s="878">
        <v>2.5000000000000001E-2</v>
      </c>
      <c r="BI137" s="1011">
        <v>2.5000000000000001E-2</v>
      </c>
      <c r="BJ137" s="260"/>
      <c r="BK137" s="260"/>
      <c r="BL137" s="269" t="s">
        <v>7</v>
      </c>
      <c r="BM137" s="270">
        <v>328852284</v>
      </c>
      <c r="BN137" s="270">
        <v>133280716</v>
      </c>
      <c r="BO137" s="501">
        <v>2.9000000000000001E-2</v>
      </c>
      <c r="BP137" s="520">
        <v>2.9000000000000001E-2</v>
      </c>
      <c r="BQ137" s="533">
        <v>2.8000000000000001E-2</v>
      </c>
      <c r="BR137" s="490">
        <v>2.8000000000000001E-2</v>
      </c>
      <c r="BS137" s="534">
        <v>2.8000000000000001E-2</v>
      </c>
      <c r="BT137" s="510">
        <v>2.8000000000000001E-2</v>
      </c>
      <c r="BU137" s="511">
        <v>2.7E-2</v>
      </c>
      <c r="BV137" s="491">
        <v>2.7E-2</v>
      </c>
      <c r="BW137" s="502">
        <v>2.7E-2</v>
      </c>
      <c r="BX137" s="851">
        <v>2.7E-2</v>
      </c>
      <c r="BY137" s="583">
        <v>2.5999999999999999E-2</v>
      </c>
      <c r="BZ137" s="886">
        <v>2.5999999999999999E-2</v>
      </c>
      <c r="CA137" s="613">
        <v>2.5999999999999999E-2</v>
      </c>
      <c r="CB137" s="878">
        <v>2.5999999999999999E-2</v>
      </c>
      <c r="CC137" s="1009">
        <v>2.5999999999999999E-2</v>
      </c>
      <c r="CD137" s="1204">
        <v>2.5999999999999999E-2</v>
      </c>
    </row>
    <row r="138" spans="1:82" x14ac:dyDescent="0.2">
      <c r="A138" s="260"/>
      <c r="B138" s="269" t="s">
        <v>8</v>
      </c>
      <c r="C138" s="270">
        <v>910487339</v>
      </c>
      <c r="D138" s="270">
        <v>321724914</v>
      </c>
      <c r="E138" s="865">
        <v>1.7999999999999999E-2</v>
      </c>
      <c r="F138" s="865">
        <v>1.7999999999999999E-2</v>
      </c>
      <c r="G138" s="523">
        <v>1.7999999999999999E-2</v>
      </c>
      <c r="H138" s="523">
        <v>1.7999999999999999E-2</v>
      </c>
      <c r="I138" s="523">
        <v>1.7999999999999999E-2</v>
      </c>
      <c r="J138" s="805">
        <v>1.7999999999999999E-2</v>
      </c>
      <c r="K138" s="805">
        <v>1.7999999999999999E-2</v>
      </c>
      <c r="L138" s="805">
        <v>1.7999999999999999E-2</v>
      </c>
      <c r="M138" s="805">
        <v>1.7999999999999999E-2</v>
      </c>
      <c r="N138" s="506">
        <v>1.7999999999999999E-2</v>
      </c>
      <c r="O138" s="506">
        <v>1.7999999999999999E-2</v>
      </c>
      <c r="P138" s="506">
        <v>1.7999999999999999E-2</v>
      </c>
      <c r="Q138" s="506">
        <v>1.7999999999999999E-2</v>
      </c>
      <c r="R138" s="495">
        <v>1.7999999999999999E-2</v>
      </c>
      <c r="S138" s="495">
        <v>1.7999999999999999E-2</v>
      </c>
      <c r="T138" s="1205">
        <v>1.7999999999999999E-2</v>
      </c>
      <c r="U138" s="260"/>
      <c r="V138" s="269" t="s">
        <v>8</v>
      </c>
      <c r="W138" s="270">
        <v>910487339</v>
      </c>
      <c r="X138" s="270">
        <v>321724914</v>
      </c>
      <c r="Y138" s="523">
        <v>1.7000000000000001E-2</v>
      </c>
      <c r="Z138" s="523">
        <v>1.7000000000000001E-2</v>
      </c>
      <c r="AA138" s="805">
        <v>1.7000000000000001E-2</v>
      </c>
      <c r="AB138" s="805">
        <v>1.7000000000000001E-2</v>
      </c>
      <c r="AC138" s="805">
        <v>1.7000000000000001E-2</v>
      </c>
      <c r="AD138" s="506">
        <v>1.7000000000000001E-2</v>
      </c>
      <c r="AE138" s="506">
        <v>1.7000000000000001E-2</v>
      </c>
      <c r="AF138" s="506">
        <v>1.7000000000000001E-2</v>
      </c>
      <c r="AG138" s="495">
        <v>1.7000000000000001E-2</v>
      </c>
      <c r="AH138" s="495">
        <v>1.7000000000000001E-2</v>
      </c>
      <c r="AI138" s="495">
        <v>1.7000000000000001E-2</v>
      </c>
      <c r="AJ138" s="813">
        <v>1.7000000000000001E-2</v>
      </c>
      <c r="AK138" s="513">
        <v>1.7000000000000001E-2</v>
      </c>
      <c r="AL138" s="513">
        <v>1.7999999999999999E-2</v>
      </c>
      <c r="AM138" s="869">
        <v>1.7999999999999999E-2</v>
      </c>
      <c r="AN138" s="1206">
        <v>1.7999999999999999E-2</v>
      </c>
      <c r="AO138" s="260"/>
      <c r="AP138" s="260"/>
      <c r="AQ138" s="269" t="s">
        <v>8</v>
      </c>
      <c r="AR138" s="270">
        <v>910487339</v>
      </c>
      <c r="AS138" s="270">
        <v>321724914</v>
      </c>
      <c r="AT138" s="523">
        <v>1.7000000000000001E-2</v>
      </c>
      <c r="AU138" s="523">
        <v>1.7000000000000001E-2</v>
      </c>
      <c r="AV138" s="805">
        <v>1.7000000000000001E-2</v>
      </c>
      <c r="AW138" s="805">
        <v>1.7000000000000001E-2</v>
      </c>
      <c r="AX138" s="506">
        <v>1.7000000000000001E-2</v>
      </c>
      <c r="AY138" s="506">
        <v>1.7000000000000001E-2</v>
      </c>
      <c r="AZ138" s="506">
        <v>1.7000000000000001E-2</v>
      </c>
      <c r="BA138" s="495">
        <v>1.7000000000000001E-2</v>
      </c>
      <c r="BB138" s="495">
        <v>1.7000000000000001E-2</v>
      </c>
      <c r="BC138" s="813">
        <v>1.7000000000000001E-2</v>
      </c>
      <c r="BD138" s="813">
        <v>1.7000000000000001E-2</v>
      </c>
      <c r="BE138" s="513">
        <v>1.7000000000000001E-2</v>
      </c>
      <c r="BF138" s="869">
        <v>1.7000000000000001E-2</v>
      </c>
      <c r="BG138" s="869">
        <v>1.7000000000000001E-2</v>
      </c>
      <c r="BH138" s="869">
        <v>1.7000000000000001E-2</v>
      </c>
      <c r="BI138" s="1206">
        <v>1.7000000000000001E-2</v>
      </c>
      <c r="BJ138" s="260"/>
      <c r="BK138" s="260"/>
      <c r="BL138" s="269" t="s">
        <v>8</v>
      </c>
      <c r="BM138" s="270">
        <v>910487339</v>
      </c>
      <c r="BN138" s="270">
        <v>321724914</v>
      </c>
      <c r="BO138" s="523">
        <v>1.6E-2</v>
      </c>
      <c r="BP138" s="805">
        <v>1.6E-2</v>
      </c>
      <c r="BQ138" s="805">
        <v>1.7000000000000001E-2</v>
      </c>
      <c r="BR138" s="506">
        <v>1.7000000000000001E-2</v>
      </c>
      <c r="BS138" s="506">
        <v>1.7000000000000001E-2</v>
      </c>
      <c r="BT138" s="495">
        <v>1.7000000000000001E-2</v>
      </c>
      <c r="BU138" s="495">
        <v>1.7000000000000001E-2</v>
      </c>
      <c r="BV138" s="813">
        <v>1.7000000000000001E-2</v>
      </c>
      <c r="BW138" s="513">
        <v>1.7000000000000001E-2</v>
      </c>
      <c r="BX138" s="513">
        <v>1.7000000000000001E-2</v>
      </c>
      <c r="BY138" s="869">
        <v>1.7000000000000001E-2</v>
      </c>
      <c r="BZ138" s="869">
        <v>1.7000000000000001E-2</v>
      </c>
      <c r="CA138" s="869">
        <v>1.7000000000000001E-2</v>
      </c>
      <c r="CB138" s="619">
        <v>1.7000000000000001E-2</v>
      </c>
      <c r="CC138" s="619">
        <v>1.7000000000000001E-2</v>
      </c>
      <c r="CD138" s="860">
        <v>1.7000000000000001E-2</v>
      </c>
    </row>
    <row r="139" spans="1:82" x14ac:dyDescent="0.2">
      <c r="A139" s="260"/>
      <c r="B139" s="269" t="s">
        <v>9</v>
      </c>
      <c r="C139" s="270">
        <v>92705417</v>
      </c>
      <c r="D139" s="270">
        <v>27802728</v>
      </c>
      <c r="E139" s="539">
        <v>0.03</v>
      </c>
      <c r="F139" s="579">
        <v>0.03</v>
      </c>
      <c r="G139" s="570">
        <v>2.9000000000000001E-2</v>
      </c>
      <c r="H139" s="838">
        <v>2.9000000000000001E-2</v>
      </c>
      <c r="I139" s="566">
        <v>2.9000000000000001E-2</v>
      </c>
      <c r="J139" s="552">
        <v>2.9000000000000001E-2</v>
      </c>
      <c r="K139" s="547">
        <v>2.9000000000000001E-2</v>
      </c>
      <c r="L139" s="559">
        <v>2.8000000000000001E-2</v>
      </c>
      <c r="M139" s="527">
        <v>2.8000000000000001E-2</v>
      </c>
      <c r="N139" s="608">
        <v>2.8000000000000001E-2</v>
      </c>
      <c r="O139" s="517">
        <v>2.8000000000000001E-2</v>
      </c>
      <c r="P139" s="553">
        <v>2.8000000000000001E-2</v>
      </c>
      <c r="Q139" s="571">
        <v>2.7E-2</v>
      </c>
      <c r="R139" s="561">
        <v>2.7E-2</v>
      </c>
      <c r="S139" s="518">
        <v>2.7E-2</v>
      </c>
      <c r="T139" s="1032">
        <v>2.7E-2</v>
      </c>
      <c r="U139" s="260"/>
      <c r="V139" s="269" t="s">
        <v>9</v>
      </c>
      <c r="W139" s="270">
        <v>92705417</v>
      </c>
      <c r="X139" s="270">
        <v>27802728</v>
      </c>
      <c r="Y139" s="818">
        <v>3.3000000000000002E-2</v>
      </c>
      <c r="Z139" s="579">
        <v>3.2000000000000001E-2</v>
      </c>
      <c r="AA139" s="570">
        <v>3.2000000000000001E-2</v>
      </c>
      <c r="AB139" s="838">
        <v>3.1E-2</v>
      </c>
      <c r="AC139" s="552">
        <v>3.1E-2</v>
      </c>
      <c r="AD139" s="547">
        <v>3.1E-2</v>
      </c>
      <c r="AE139" s="559">
        <v>0.03</v>
      </c>
      <c r="AF139" s="608">
        <v>0.03</v>
      </c>
      <c r="AG139" s="560">
        <v>0.03</v>
      </c>
      <c r="AH139" s="517">
        <v>2.9000000000000001E-2</v>
      </c>
      <c r="AI139" s="571">
        <v>2.9000000000000001E-2</v>
      </c>
      <c r="AJ139" s="561">
        <v>2.9000000000000001E-2</v>
      </c>
      <c r="AK139" s="518">
        <v>2.9000000000000001E-2</v>
      </c>
      <c r="AL139" s="524">
        <v>2.8000000000000001E-2</v>
      </c>
      <c r="AM139" s="581">
        <v>2.8000000000000001E-2</v>
      </c>
      <c r="AN139" s="1183">
        <v>2.8000000000000001E-2</v>
      </c>
      <c r="AO139" s="260"/>
      <c r="AP139" s="260"/>
      <c r="AQ139" s="269" t="s">
        <v>9</v>
      </c>
      <c r="AR139" s="270">
        <v>92705417</v>
      </c>
      <c r="AS139" s="270">
        <v>27802728</v>
      </c>
      <c r="AT139" s="818">
        <v>3.3000000000000002E-2</v>
      </c>
      <c r="AU139" s="579">
        <v>3.3000000000000002E-2</v>
      </c>
      <c r="AV139" s="570">
        <v>3.2000000000000001E-2</v>
      </c>
      <c r="AW139" s="838">
        <v>3.2000000000000001E-2</v>
      </c>
      <c r="AX139" s="552">
        <v>3.1E-2</v>
      </c>
      <c r="AY139" s="547">
        <v>3.1E-2</v>
      </c>
      <c r="AZ139" s="527">
        <v>3.1E-2</v>
      </c>
      <c r="BA139" s="608">
        <v>0.03</v>
      </c>
      <c r="BB139" s="517">
        <v>0.03</v>
      </c>
      <c r="BC139" s="553">
        <v>0.03</v>
      </c>
      <c r="BD139" s="571">
        <v>2.9000000000000001E-2</v>
      </c>
      <c r="BE139" s="518">
        <v>2.9000000000000001E-2</v>
      </c>
      <c r="BF139" s="524">
        <v>2.9000000000000001E-2</v>
      </c>
      <c r="BG139" s="554">
        <v>2.9000000000000001E-2</v>
      </c>
      <c r="BH139" s="519">
        <v>2.8000000000000001E-2</v>
      </c>
      <c r="BI139" s="1033">
        <v>2.8000000000000001E-2</v>
      </c>
      <c r="BJ139" s="260"/>
      <c r="BK139" s="260"/>
      <c r="BL139" s="269" t="s">
        <v>9</v>
      </c>
      <c r="BM139" s="270">
        <v>92705417</v>
      </c>
      <c r="BN139" s="270">
        <v>27802728</v>
      </c>
      <c r="BO139" s="564">
        <v>3.5000000000000003E-2</v>
      </c>
      <c r="BP139" s="579">
        <v>3.4000000000000002E-2</v>
      </c>
      <c r="BQ139" s="570">
        <v>3.4000000000000002E-2</v>
      </c>
      <c r="BR139" s="566">
        <v>3.3000000000000002E-2</v>
      </c>
      <c r="BS139" s="602">
        <v>3.3000000000000002E-2</v>
      </c>
      <c r="BT139" s="559">
        <v>3.2000000000000001E-2</v>
      </c>
      <c r="BU139" s="608">
        <v>3.2000000000000001E-2</v>
      </c>
      <c r="BV139" s="888">
        <v>3.1E-2</v>
      </c>
      <c r="BW139" s="553">
        <v>3.1E-2</v>
      </c>
      <c r="BX139" s="571">
        <v>0.03</v>
      </c>
      <c r="BY139" s="518">
        <v>0.03</v>
      </c>
      <c r="BZ139" s="524">
        <v>0.03</v>
      </c>
      <c r="CA139" s="519">
        <v>2.9000000000000001E-2</v>
      </c>
      <c r="CB139" s="501">
        <v>2.9000000000000001E-2</v>
      </c>
      <c r="CC139" s="532">
        <v>2.9000000000000001E-2</v>
      </c>
      <c r="CD139" s="1207">
        <v>2.9000000000000001E-2</v>
      </c>
    </row>
    <row r="140" spans="1:82" x14ac:dyDescent="0.2">
      <c r="A140" s="260"/>
      <c r="B140" s="269" t="s">
        <v>10</v>
      </c>
      <c r="C140" s="270">
        <v>1243404656</v>
      </c>
      <c r="D140" s="270">
        <v>110876434</v>
      </c>
      <c r="E140" s="1050">
        <v>1.2E-2</v>
      </c>
      <c r="F140" s="1051">
        <v>1.2E-2</v>
      </c>
      <c r="G140" s="882">
        <v>1.2E-2</v>
      </c>
      <c r="H140" s="1052">
        <v>1.2E-2</v>
      </c>
      <c r="I140" s="550">
        <v>1.2999999999999999E-2</v>
      </c>
      <c r="J140" s="498">
        <v>1.2999999999999999E-2</v>
      </c>
      <c r="K140" s="1053">
        <v>1.2999999999999999E-2</v>
      </c>
      <c r="L140" s="854">
        <v>1.2999999999999999E-2</v>
      </c>
      <c r="M140" s="803">
        <v>1.2999999999999999E-2</v>
      </c>
      <c r="N140" s="809">
        <v>1.2999999999999999E-2</v>
      </c>
      <c r="O140" s="508">
        <v>1.2999999999999999E-2</v>
      </c>
      <c r="P140" s="508">
        <v>1.2999999999999999E-2</v>
      </c>
      <c r="Q140" s="1054">
        <v>1.2999999999999999E-2</v>
      </c>
      <c r="R140" s="812">
        <v>1.2999999999999999E-2</v>
      </c>
      <c r="S140" s="1070">
        <v>1.2999999999999999E-2</v>
      </c>
      <c r="T140" s="1208">
        <v>1.2999999999999999E-2</v>
      </c>
      <c r="U140" s="260"/>
      <c r="V140" s="269" t="s">
        <v>10</v>
      </c>
      <c r="W140" s="270">
        <v>1243404656</v>
      </c>
      <c r="X140" s="270">
        <v>110876434</v>
      </c>
      <c r="Y140" s="1050">
        <v>0.01</v>
      </c>
      <c r="Z140" s="882">
        <v>0.01</v>
      </c>
      <c r="AA140" s="1052">
        <v>0.01</v>
      </c>
      <c r="AB140" s="550">
        <v>1.0999999999999999E-2</v>
      </c>
      <c r="AC140" s="498">
        <v>1.0999999999999999E-2</v>
      </c>
      <c r="AD140" s="1053">
        <v>1.0999999999999999E-2</v>
      </c>
      <c r="AE140" s="854">
        <v>1.0999999999999999E-2</v>
      </c>
      <c r="AF140" s="809">
        <v>1.0999999999999999E-2</v>
      </c>
      <c r="AG140" s="809">
        <v>1.0999999999999999E-2</v>
      </c>
      <c r="AH140" s="508">
        <v>1.0999999999999999E-2</v>
      </c>
      <c r="AI140" s="1054">
        <v>1.0999999999999999E-2</v>
      </c>
      <c r="AJ140" s="812">
        <v>1.2E-2</v>
      </c>
      <c r="AK140" s="1070">
        <v>1.2E-2</v>
      </c>
      <c r="AL140" s="883">
        <v>1.2E-2</v>
      </c>
      <c r="AM140" s="806">
        <v>1.2E-2</v>
      </c>
      <c r="AN140" s="1209">
        <v>1.2E-2</v>
      </c>
      <c r="AO140" s="260"/>
      <c r="AP140" s="260"/>
      <c r="AQ140" s="269" t="s">
        <v>10</v>
      </c>
      <c r="AR140" s="270">
        <v>1243404656</v>
      </c>
      <c r="AS140" s="270">
        <v>110876434</v>
      </c>
      <c r="AT140" s="1050">
        <v>0.01</v>
      </c>
      <c r="AU140" s="882">
        <v>0.01</v>
      </c>
      <c r="AV140" s="1052">
        <v>0.01</v>
      </c>
      <c r="AW140" s="550">
        <v>0.01</v>
      </c>
      <c r="AX140" s="498">
        <v>0.01</v>
      </c>
      <c r="AY140" s="1053">
        <v>0.01</v>
      </c>
      <c r="AZ140" s="803">
        <v>0.01</v>
      </c>
      <c r="BA140" s="809">
        <v>1.0999999999999999E-2</v>
      </c>
      <c r="BB140" s="508">
        <v>1.0999999999999999E-2</v>
      </c>
      <c r="BC140" s="1054">
        <v>1.0999999999999999E-2</v>
      </c>
      <c r="BD140" s="812">
        <v>1.0999999999999999E-2</v>
      </c>
      <c r="BE140" s="1070">
        <v>1.0999999999999999E-2</v>
      </c>
      <c r="BF140" s="883">
        <v>1.0999999999999999E-2</v>
      </c>
      <c r="BG140" s="883">
        <v>1.0999999999999999E-2</v>
      </c>
      <c r="BH140" s="806">
        <v>1.0999999999999999E-2</v>
      </c>
      <c r="BI140" s="1210">
        <v>1.0999999999999999E-2</v>
      </c>
      <c r="BJ140" s="260"/>
      <c r="BK140" s="260"/>
      <c r="BL140" s="269" t="s">
        <v>10</v>
      </c>
      <c r="BM140" s="270">
        <v>1243404656</v>
      </c>
      <c r="BN140" s="270">
        <v>110876434</v>
      </c>
      <c r="BO140" s="1050">
        <v>8.0000000000000002E-3</v>
      </c>
      <c r="BP140" s="882">
        <v>8.0000000000000002E-3</v>
      </c>
      <c r="BQ140" s="1052">
        <v>8.9999999999999993E-3</v>
      </c>
      <c r="BR140" s="550">
        <v>8.9999999999999993E-3</v>
      </c>
      <c r="BS140" s="498">
        <v>8.9999999999999993E-3</v>
      </c>
      <c r="BT140" s="854">
        <v>8.9999999999999993E-3</v>
      </c>
      <c r="BU140" s="809">
        <v>8.9999999999999993E-3</v>
      </c>
      <c r="BV140" s="508">
        <v>8.9999999999999993E-3</v>
      </c>
      <c r="BW140" s="1054">
        <v>0.01</v>
      </c>
      <c r="BX140" s="812">
        <v>0.01</v>
      </c>
      <c r="BY140" s="1070">
        <v>0.01</v>
      </c>
      <c r="BZ140" s="883">
        <v>0.01</v>
      </c>
      <c r="CA140" s="806">
        <v>0.01</v>
      </c>
      <c r="CB140" s="1056">
        <v>0.01</v>
      </c>
      <c r="CC140" s="584">
        <v>0.01</v>
      </c>
      <c r="CD140" s="1199">
        <v>1.0999999999999999E-2</v>
      </c>
    </row>
    <row r="141" spans="1:82" x14ac:dyDescent="0.2">
      <c r="A141" s="260"/>
      <c r="B141" s="269" t="s">
        <v>11</v>
      </c>
      <c r="C141" s="270">
        <v>195405555</v>
      </c>
      <c r="D141" s="270">
        <v>75892247</v>
      </c>
      <c r="E141" s="490">
        <v>2.5999999999999999E-2</v>
      </c>
      <c r="F141" s="509">
        <v>2.5999999999999999E-2</v>
      </c>
      <c r="G141" s="534">
        <v>2.5000000000000001E-2</v>
      </c>
      <c r="H141" s="510">
        <v>2.5000000000000001E-2</v>
      </c>
      <c r="I141" s="511">
        <v>2.5000000000000001E-2</v>
      </c>
      <c r="J141" s="511">
        <v>2.5000000000000001E-2</v>
      </c>
      <c r="K141" s="491">
        <v>2.5000000000000001E-2</v>
      </c>
      <c r="L141" s="491">
        <v>2.5000000000000001E-2</v>
      </c>
      <c r="M141" s="502">
        <v>2.5000000000000001E-2</v>
      </c>
      <c r="N141" s="535">
        <v>2.5000000000000001E-2</v>
      </c>
      <c r="O141" s="851">
        <v>2.5000000000000001E-2</v>
      </c>
      <c r="P141" s="583">
        <v>2.5000000000000001E-2</v>
      </c>
      <c r="Q141" s="886">
        <v>2.4E-2</v>
      </c>
      <c r="R141" s="636">
        <v>2.4E-2</v>
      </c>
      <c r="S141" s="613">
        <v>2.4E-2</v>
      </c>
      <c r="T141" s="1048">
        <v>2.4E-2</v>
      </c>
      <c r="U141" s="260"/>
      <c r="V141" s="269" t="s">
        <v>11</v>
      </c>
      <c r="W141" s="270">
        <v>195405555</v>
      </c>
      <c r="X141" s="270">
        <v>75892247</v>
      </c>
      <c r="Y141" s="533">
        <v>2.7E-2</v>
      </c>
      <c r="Z141" s="490">
        <v>2.7E-2</v>
      </c>
      <c r="AA141" s="509">
        <v>2.7E-2</v>
      </c>
      <c r="AB141" s="534">
        <v>2.7E-2</v>
      </c>
      <c r="AC141" s="510">
        <v>2.5999999999999999E-2</v>
      </c>
      <c r="AD141" s="511">
        <v>2.5999999999999999E-2</v>
      </c>
      <c r="AE141" s="491">
        <v>2.5999999999999999E-2</v>
      </c>
      <c r="AF141" s="491">
        <v>2.5999999999999999E-2</v>
      </c>
      <c r="AG141" s="535">
        <v>2.5999999999999999E-2</v>
      </c>
      <c r="AH141" s="851">
        <v>2.5999999999999999E-2</v>
      </c>
      <c r="AI141" s="583">
        <v>2.5999999999999999E-2</v>
      </c>
      <c r="AJ141" s="886">
        <v>2.5000000000000001E-2</v>
      </c>
      <c r="AK141" s="636">
        <v>2.5000000000000001E-2</v>
      </c>
      <c r="AL141" s="613">
        <v>2.5000000000000001E-2</v>
      </c>
      <c r="AM141" s="878">
        <v>2.5000000000000001E-2</v>
      </c>
      <c r="AN141" s="1011">
        <v>2.5000000000000001E-2</v>
      </c>
      <c r="AO141" s="260"/>
      <c r="AP141" s="260"/>
      <c r="AQ141" s="269" t="s">
        <v>11</v>
      </c>
      <c r="AR141" s="270">
        <v>195405555</v>
      </c>
      <c r="AS141" s="270">
        <v>75892247</v>
      </c>
      <c r="AT141" s="520">
        <v>2.8000000000000001E-2</v>
      </c>
      <c r="AU141" s="533">
        <v>2.7E-2</v>
      </c>
      <c r="AV141" s="490">
        <v>2.7E-2</v>
      </c>
      <c r="AW141" s="534">
        <v>2.7E-2</v>
      </c>
      <c r="AX141" s="510">
        <v>2.7E-2</v>
      </c>
      <c r="AY141" s="511">
        <v>2.7E-2</v>
      </c>
      <c r="AZ141" s="491">
        <v>2.5999999999999999E-2</v>
      </c>
      <c r="BA141" s="491">
        <v>2.5999999999999999E-2</v>
      </c>
      <c r="BB141" s="535">
        <v>2.5999999999999999E-2</v>
      </c>
      <c r="BC141" s="851">
        <v>2.5999999999999999E-2</v>
      </c>
      <c r="BD141" s="583">
        <v>2.5999999999999999E-2</v>
      </c>
      <c r="BE141" s="886">
        <v>2.5999999999999999E-2</v>
      </c>
      <c r="BF141" s="636">
        <v>2.5999999999999999E-2</v>
      </c>
      <c r="BG141" s="613">
        <v>2.5000000000000001E-2</v>
      </c>
      <c r="BH141" s="878">
        <v>2.5000000000000001E-2</v>
      </c>
      <c r="BI141" s="1011">
        <v>2.5000000000000001E-2</v>
      </c>
      <c r="BJ141" s="260"/>
      <c r="BK141" s="260"/>
      <c r="BL141" s="269" t="s">
        <v>11</v>
      </c>
      <c r="BM141" s="270">
        <v>195405555</v>
      </c>
      <c r="BN141" s="270">
        <v>75892247</v>
      </c>
      <c r="BO141" s="520">
        <v>2.9000000000000001E-2</v>
      </c>
      <c r="BP141" s="533">
        <v>2.8000000000000001E-2</v>
      </c>
      <c r="BQ141" s="490">
        <v>2.8000000000000001E-2</v>
      </c>
      <c r="BR141" s="534">
        <v>2.8000000000000001E-2</v>
      </c>
      <c r="BS141" s="510">
        <v>2.8000000000000001E-2</v>
      </c>
      <c r="BT141" s="511">
        <v>2.7E-2</v>
      </c>
      <c r="BU141" s="491">
        <v>2.7E-2</v>
      </c>
      <c r="BV141" s="502">
        <v>2.7E-2</v>
      </c>
      <c r="BW141" s="535">
        <v>2.7E-2</v>
      </c>
      <c r="BX141" s="851">
        <v>2.7E-2</v>
      </c>
      <c r="BY141" s="886">
        <v>2.5999999999999999E-2</v>
      </c>
      <c r="BZ141" s="636">
        <v>2.5999999999999999E-2</v>
      </c>
      <c r="CA141" s="613">
        <v>2.5999999999999999E-2</v>
      </c>
      <c r="CB141" s="878">
        <v>2.5999999999999999E-2</v>
      </c>
      <c r="CC141" s="1009">
        <v>2.5999999999999999E-2</v>
      </c>
      <c r="CD141" s="1204">
        <v>2.5999999999999999E-2</v>
      </c>
    </row>
    <row r="142" spans="1:82" x14ac:dyDescent="0.2">
      <c r="A142" s="260"/>
      <c r="B142" s="459" t="s">
        <v>14</v>
      </c>
      <c r="C142" s="460">
        <v>4467075685</v>
      </c>
      <c r="D142" s="460">
        <v>1365370426</v>
      </c>
      <c r="E142" s="641">
        <v>0.02</v>
      </c>
      <c r="F142" s="472">
        <v>0.02</v>
      </c>
      <c r="G142" s="472">
        <v>0.02</v>
      </c>
      <c r="H142" s="472">
        <v>0.02</v>
      </c>
      <c r="I142" s="472">
        <v>0.02</v>
      </c>
      <c r="J142" s="472">
        <v>0.02</v>
      </c>
      <c r="K142" s="472">
        <v>0.02</v>
      </c>
      <c r="L142" s="472">
        <v>0.02</v>
      </c>
      <c r="M142" s="472">
        <v>0.02</v>
      </c>
      <c r="N142" s="472">
        <v>0.02</v>
      </c>
      <c r="O142" s="472">
        <v>0.02</v>
      </c>
      <c r="P142" s="472">
        <v>0.02</v>
      </c>
      <c r="Q142" s="472">
        <v>0.02</v>
      </c>
      <c r="R142" s="472">
        <v>0.02</v>
      </c>
      <c r="S142" s="472">
        <v>0.02</v>
      </c>
      <c r="T142" s="642">
        <v>0.02</v>
      </c>
      <c r="U142" s="260"/>
      <c r="V142" s="459" t="s">
        <v>14</v>
      </c>
      <c r="W142" s="460">
        <v>4467075685</v>
      </c>
      <c r="X142" s="460">
        <v>1365370426</v>
      </c>
      <c r="Y142" s="641">
        <v>0.02</v>
      </c>
      <c r="Z142" s="472">
        <v>0.02</v>
      </c>
      <c r="AA142" s="472">
        <v>0.02</v>
      </c>
      <c r="AB142" s="472">
        <v>0.02</v>
      </c>
      <c r="AC142" s="472">
        <v>0.02</v>
      </c>
      <c r="AD142" s="472">
        <v>0.02</v>
      </c>
      <c r="AE142" s="472">
        <v>0.02</v>
      </c>
      <c r="AF142" s="472">
        <v>0.02</v>
      </c>
      <c r="AG142" s="472">
        <v>0.02</v>
      </c>
      <c r="AH142" s="472">
        <v>0.02</v>
      </c>
      <c r="AI142" s="472">
        <v>0.02</v>
      </c>
      <c r="AJ142" s="472">
        <v>0.02</v>
      </c>
      <c r="AK142" s="472">
        <v>0.02</v>
      </c>
      <c r="AL142" s="472">
        <v>0.02</v>
      </c>
      <c r="AM142" s="472">
        <v>0.02</v>
      </c>
      <c r="AN142" s="642">
        <v>0.02</v>
      </c>
      <c r="AO142" s="260"/>
      <c r="AP142" s="260"/>
      <c r="AQ142" s="459" t="s">
        <v>14</v>
      </c>
      <c r="AR142" s="460">
        <v>4467075685</v>
      </c>
      <c r="AS142" s="460">
        <v>1365370426</v>
      </c>
      <c r="AT142" s="641">
        <v>0.02</v>
      </c>
      <c r="AU142" s="472">
        <v>0.02</v>
      </c>
      <c r="AV142" s="472">
        <v>0.02</v>
      </c>
      <c r="AW142" s="472">
        <v>0.02</v>
      </c>
      <c r="AX142" s="472">
        <v>0.02</v>
      </c>
      <c r="AY142" s="472">
        <v>0.02</v>
      </c>
      <c r="AZ142" s="472">
        <v>0.02</v>
      </c>
      <c r="BA142" s="472">
        <v>0.02</v>
      </c>
      <c r="BB142" s="472">
        <v>0.02</v>
      </c>
      <c r="BC142" s="472">
        <v>0.02</v>
      </c>
      <c r="BD142" s="472">
        <v>0.02</v>
      </c>
      <c r="BE142" s="472">
        <v>0.02</v>
      </c>
      <c r="BF142" s="472">
        <v>0.02</v>
      </c>
      <c r="BG142" s="472">
        <v>0.02</v>
      </c>
      <c r="BH142" s="472">
        <v>0.02</v>
      </c>
      <c r="BI142" s="642">
        <v>0.02</v>
      </c>
      <c r="BJ142" s="260"/>
      <c r="BK142" s="260"/>
      <c r="BL142" s="459" t="s">
        <v>14</v>
      </c>
      <c r="BM142" s="460">
        <v>4467075685</v>
      </c>
      <c r="BN142" s="460">
        <v>1365370426</v>
      </c>
      <c r="BO142" s="641">
        <v>0.02</v>
      </c>
      <c r="BP142" s="472">
        <v>0.02</v>
      </c>
      <c r="BQ142" s="472">
        <v>0.02</v>
      </c>
      <c r="BR142" s="472">
        <v>0.02</v>
      </c>
      <c r="BS142" s="472">
        <v>0.02</v>
      </c>
      <c r="BT142" s="472">
        <v>0.02</v>
      </c>
      <c r="BU142" s="472">
        <v>0.02</v>
      </c>
      <c r="BV142" s="472">
        <v>0.02</v>
      </c>
      <c r="BW142" s="472">
        <v>0.02</v>
      </c>
      <c r="BX142" s="472">
        <v>0.02</v>
      </c>
      <c r="BY142" s="472">
        <v>0.02</v>
      </c>
      <c r="BZ142" s="472">
        <v>0.02</v>
      </c>
      <c r="CA142" s="472">
        <v>0.02</v>
      </c>
      <c r="CB142" s="472">
        <v>0.02</v>
      </c>
      <c r="CC142" s="472">
        <v>0.02</v>
      </c>
      <c r="CD142" s="642">
        <v>0.02</v>
      </c>
    </row>
  </sheetData>
  <conditionalFormatting sqref="E9:T2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:T3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D0D2E-C73D-704B-BFB7-9776BC76F32D}">
  <dimension ref="A1:L55"/>
  <sheetViews>
    <sheetView topLeftCell="A2" zoomScale="130" zoomScaleNormal="130" workbookViewId="0">
      <selection activeCell="G20" activeCellId="3" sqref="G15 G17 G18 G20"/>
    </sheetView>
  </sheetViews>
  <sheetFormatPr baseColWidth="10" defaultRowHeight="15" x14ac:dyDescent="0.2"/>
  <cols>
    <col min="1" max="1" width="34.33203125" bestFit="1" customWidth="1"/>
    <col min="2" max="2" width="18.6640625" customWidth="1"/>
    <col min="3" max="3" width="12.6640625" customWidth="1"/>
    <col min="4" max="4" width="12.1640625" customWidth="1"/>
    <col min="5" max="5" width="13.6640625" bestFit="1" customWidth="1"/>
    <col min="6" max="6" width="15" customWidth="1"/>
    <col min="7" max="7" width="12" bestFit="1" customWidth="1"/>
    <col min="8" max="8" width="13.6640625" bestFit="1" customWidth="1"/>
    <col min="9" max="9" width="13.33203125" customWidth="1"/>
    <col min="10" max="10" width="14" customWidth="1"/>
    <col min="11" max="11" width="10.83203125" customWidth="1"/>
    <col min="12" max="12" width="12.5" customWidth="1"/>
  </cols>
  <sheetData>
    <row r="1" spans="1:7" x14ac:dyDescent="0.2">
      <c r="A1" t="s">
        <v>26</v>
      </c>
      <c r="B1" s="4">
        <v>1142244899.9999998</v>
      </c>
    </row>
    <row r="2" spans="1:7" ht="16" thickBot="1" x14ac:dyDescent="0.25">
      <c r="A2" t="s">
        <v>27</v>
      </c>
      <c r="B2" s="6">
        <f>B1*(1+B3)</f>
        <v>1233624491.9999998</v>
      </c>
    </row>
    <row r="3" spans="1:7" ht="16" thickBot="1" x14ac:dyDescent="0.25">
      <c r="A3" t="s">
        <v>28</v>
      </c>
      <c r="B3" s="44">
        <v>0.08</v>
      </c>
    </row>
    <row r="4" spans="1:7" ht="16" thickBot="1" x14ac:dyDescent="0.25">
      <c r="A4" t="s">
        <v>16</v>
      </c>
      <c r="B4" s="44">
        <v>0.03</v>
      </c>
    </row>
    <row r="5" spans="1:7" ht="16" thickBot="1" x14ac:dyDescent="0.25">
      <c r="A5" t="s">
        <v>105</v>
      </c>
      <c r="B5" s="44">
        <v>0.66666665999999997</v>
      </c>
    </row>
    <row r="6" spans="1:7" x14ac:dyDescent="0.2">
      <c r="A6" t="s">
        <v>132</v>
      </c>
      <c r="B6" s="6">
        <f>B2-B1</f>
        <v>91379592</v>
      </c>
    </row>
    <row r="7" spans="1:7" x14ac:dyDescent="0.2">
      <c r="B7" s="6"/>
    </row>
    <row r="8" spans="1:7" ht="19" x14ac:dyDescent="0.25">
      <c r="A8" s="242" t="s">
        <v>138</v>
      </c>
      <c r="B8" s="242"/>
      <c r="C8" s="242"/>
      <c r="D8" s="242"/>
      <c r="E8" s="242"/>
      <c r="F8" s="242"/>
    </row>
    <row r="9" spans="1:7" ht="32" x14ac:dyDescent="0.2">
      <c r="B9" s="13" t="s">
        <v>29</v>
      </c>
      <c r="C9" s="13" t="s">
        <v>129</v>
      </c>
      <c r="D9" s="13" t="s">
        <v>130</v>
      </c>
      <c r="E9" s="13" t="s">
        <v>131</v>
      </c>
      <c r="F9" s="111" t="s">
        <v>136</v>
      </c>
    </row>
    <row r="10" spans="1:7" ht="16" x14ac:dyDescent="0.2">
      <c r="A10" s="14" t="s">
        <v>0</v>
      </c>
      <c r="B10" s="18">
        <v>39493233.333333336</v>
      </c>
      <c r="C10" s="108">
        <v>0.45</v>
      </c>
      <c r="D10" s="20">
        <f t="shared" ref="D10:D21" si="0">C10/$C$22</f>
        <v>9.5744680851063829E-2</v>
      </c>
      <c r="E10" s="18">
        <f>D10*$B$6</f>
        <v>8749109.8723404258</v>
      </c>
      <c r="F10" s="112">
        <f>E10/B10</f>
        <v>0.22153440308357697</v>
      </c>
      <c r="G10" s="19">
        <f>F10-L42</f>
        <v>0.13536636184723891</v>
      </c>
    </row>
    <row r="11" spans="1:7" ht="16" x14ac:dyDescent="0.2">
      <c r="A11" s="14" t="s">
        <v>1</v>
      </c>
      <c r="B11" s="18">
        <v>42979166.666666664</v>
      </c>
      <c r="C11" s="108">
        <v>0.32</v>
      </c>
      <c r="D11" s="20">
        <f t="shared" si="0"/>
        <v>6.8085106382978725E-2</v>
      </c>
      <c r="E11" s="18">
        <f t="shared" ref="E11:E21" si="1">D11*$B$6</f>
        <v>6221589.2425531913</v>
      </c>
      <c r="F11" s="112">
        <f t="shared" ref="F11:F21" si="2">E11/B11</f>
        <v>0.14475825673415085</v>
      </c>
      <c r="G11" s="19">
        <f t="shared" ref="G11:G21" si="3">F11-L43</f>
        <v>1.2228847070323956E-2</v>
      </c>
    </row>
    <row r="12" spans="1:7" ht="16" x14ac:dyDescent="0.2">
      <c r="A12" s="14" t="s">
        <v>2</v>
      </c>
      <c r="B12" s="18">
        <v>23966733.333333332</v>
      </c>
      <c r="C12" s="108">
        <v>0.51</v>
      </c>
      <c r="D12" s="20">
        <f t="shared" si="0"/>
        <v>0.10851063829787234</v>
      </c>
      <c r="E12" s="18">
        <f t="shared" si="1"/>
        <v>9915657.8553191498</v>
      </c>
      <c r="F12" s="112">
        <f t="shared" si="2"/>
        <v>0.41372588067846056</v>
      </c>
      <c r="G12" s="19">
        <f t="shared" si="3"/>
        <v>0.15749270720384667</v>
      </c>
    </row>
    <row r="13" spans="1:7" ht="16" x14ac:dyDescent="0.2">
      <c r="A13" s="14" t="s">
        <v>3</v>
      </c>
      <c r="B13" s="18">
        <v>71966633.333333328</v>
      </c>
      <c r="C13" s="108">
        <v>0.3</v>
      </c>
      <c r="D13" s="20">
        <f t="shared" si="0"/>
        <v>6.3829787234042548E-2</v>
      </c>
      <c r="E13" s="18">
        <f t="shared" si="1"/>
        <v>5832739.9148936169</v>
      </c>
      <c r="F13" s="112">
        <f t="shared" si="2"/>
        <v>8.1047836264309767E-2</v>
      </c>
      <c r="G13" s="19">
        <f t="shared" si="3"/>
        <v>-7.3947970259451892E-2</v>
      </c>
    </row>
    <row r="14" spans="1:7" ht="16" x14ac:dyDescent="0.2">
      <c r="A14" s="14" t="s">
        <v>4</v>
      </c>
      <c r="B14" s="18">
        <v>36752500</v>
      </c>
      <c r="C14" s="108">
        <v>0.48</v>
      </c>
      <c r="D14" s="20">
        <f t="shared" si="0"/>
        <v>0.10212765957446808</v>
      </c>
      <c r="E14" s="18">
        <f t="shared" si="1"/>
        <v>9332383.863829786</v>
      </c>
      <c r="F14" s="112">
        <f t="shared" si="2"/>
        <v>0.25392514424405921</v>
      </c>
      <c r="G14" s="19">
        <f t="shared" si="3"/>
        <v>4.3149293881881323E-2</v>
      </c>
    </row>
    <row r="15" spans="1:7" ht="16" x14ac:dyDescent="0.2">
      <c r="A15" s="14" t="s">
        <v>5</v>
      </c>
      <c r="B15" s="18">
        <v>90757866.666666672</v>
      </c>
      <c r="C15" s="108">
        <v>0.43</v>
      </c>
      <c r="D15" s="20">
        <f t="shared" si="0"/>
        <v>9.1489361702127653E-2</v>
      </c>
      <c r="E15" s="18">
        <f t="shared" si="1"/>
        <v>8360260.5446808506</v>
      </c>
      <c r="F15" s="112">
        <f t="shared" si="2"/>
        <v>9.211609805005902E-2</v>
      </c>
      <c r="G15" s="19">
        <f t="shared" si="3"/>
        <v>-1.941283641640866E-2</v>
      </c>
    </row>
    <row r="16" spans="1:7" ht="16" x14ac:dyDescent="0.2">
      <c r="A16" s="14" t="s">
        <v>6</v>
      </c>
      <c r="B16" s="18">
        <v>135660014.72931176</v>
      </c>
      <c r="C16" s="108">
        <v>0.35</v>
      </c>
      <c r="D16" s="20">
        <f t="shared" si="0"/>
        <v>7.4468085106382975E-2</v>
      </c>
      <c r="E16" s="18">
        <f t="shared" si="1"/>
        <v>6804863.2340425532</v>
      </c>
      <c r="F16" s="112">
        <f t="shared" si="2"/>
        <v>5.0161156532531621E-2</v>
      </c>
      <c r="G16" s="19">
        <f t="shared" si="3"/>
        <v>1.8475681132838172E-2</v>
      </c>
    </row>
    <row r="17" spans="1:10" ht="16" x14ac:dyDescent="0.2">
      <c r="A17" s="14" t="s">
        <v>7</v>
      </c>
      <c r="B17" s="18">
        <v>63543851.937354892</v>
      </c>
      <c r="C17" s="108">
        <v>0.32</v>
      </c>
      <c r="D17" s="20">
        <f t="shared" si="0"/>
        <v>6.8085106382978725E-2</v>
      </c>
      <c r="E17" s="18">
        <f t="shared" si="1"/>
        <v>6221589.2425531913</v>
      </c>
      <c r="F17" s="112">
        <f t="shared" si="2"/>
        <v>9.7910168377686388E-2</v>
      </c>
      <c r="G17" s="19">
        <f t="shared" si="3"/>
        <v>-2.4555459186028555E-2</v>
      </c>
    </row>
    <row r="18" spans="1:10" ht="16" x14ac:dyDescent="0.2">
      <c r="A18" s="14" t="s">
        <v>8</v>
      </c>
      <c r="B18" s="18">
        <v>252840398.47202086</v>
      </c>
      <c r="C18" s="108">
        <v>0.49</v>
      </c>
      <c r="D18" s="20">
        <f t="shared" si="0"/>
        <v>0.10425531914893617</v>
      </c>
      <c r="E18" s="18">
        <f t="shared" si="1"/>
        <v>9526808.5276595745</v>
      </c>
      <c r="F18" s="112">
        <f t="shared" si="2"/>
        <v>3.7679139034871453E-2</v>
      </c>
      <c r="G18" s="19">
        <f t="shared" si="3"/>
        <v>-2.5173271305656664E-2</v>
      </c>
    </row>
    <row r="19" spans="1:10" ht="16" x14ac:dyDescent="0.2">
      <c r="A19" s="14" t="s">
        <v>9</v>
      </c>
      <c r="B19" s="18">
        <v>24934641.605156694</v>
      </c>
      <c r="C19" s="108">
        <v>0.35</v>
      </c>
      <c r="D19" s="20">
        <f t="shared" si="0"/>
        <v>7.4468085106382975E-2</v>
      </c>
      <c r="E19" s="18">
        <f t="shared" si="1"/>
        <v>6804863.2340425532</v>
      </c>
      <c r="F19" s="112">
        <f t="shared" si="2"/>
        <v>0.27290800252108899</v>
      </c>
      <c r="G19" s="19">
        <f t="shared" si="3"/>
        <v>0.13096637852834872</v>
      </c>
    </row>
    <row r="20" spans="1:10" ht="16" x14ac:dyDescent="0.2">
      <c r="A20" s="14" t="s">
        <v>10</v>
      </c>
      <c r="B20" s="18">
        <v>308098926.5894891</v>
      </c>
      <c r="C20" s="108">
        <v>0.25</v>
      </c>
      <c r="D20" s="20">
        <f t="shared" si="0"/>
        <v>5.3191489361702128E-2</v>
      </c>
      <c r="E20" s="18">
        <f t="shared" si="1"/>
        <v>4860616.5957446806</v>
      </c>
      <c r="F20" s="112">
        <f t="shared" si="2"/>
        <v>1.5776155566491031E-2</v>
      </c>
      <c r="G20" s="19">
        <f t="shared" si="3"/>
        <v>-1.5516678078343008E-2</v>
      </c>
    </row>
    <row r="21" spans="1:10" ht="16" x14ac:dyDescent="0.2">
      <c r="A21" s="14" t="s">
        <v>11</v>
      </c>
      <c r="B21" s="18">
        <v>51250933.333333336</v>
      </c>
      <c r="C21" s="108">
        <v>0.45</v>
      </c>
      <c r="D21" s="20">
        <f t="shared" si="0"/>
        <v>9.5744680851063829E-2</v>
      </c>
      <c r="E21" s="18">
        <f t="shared" si="1"/>
        <v>8749109.8723404258</v>
      </c>
      <c r="F21" s="112">
        <f t="shared" si="2"/>
        <v>0.1707112300850539</v>
      </c>
      <c r="G21" s="19">
        <f t="shared" si="3"/>
        <v>5.4348519633190734E-2</v>
      </c>
    </row>
    <row r="22" spans="1:10" x14ac:dyDescent="0.2">
      <c r="B22" s="30">
        <f>SUM(B10:B21)</f>
        <v>1142244899.9999998</v>
      </c>
      <c r="C22" s="19">
        <f>SUM(C10:C21)</f>
        <v>4.7</v>
      </c>
      <c r="E22" s="30">
        <f>SUM(E10:E21)</f>
        <v>91379592</v>
      </c>
      <c r="F22" s="113">
        <f>E22/B22</f>
        <v>8.0000000000000016E-2</v>
      </c>
    </row>
    <row r="24" spans="1:10" ht="19" x14ac:dyDescent="0.25">
      <c r="A24" s="242" t="s">
        <v>139</v>
      </c>
      <c r="B24" s="242"/>
      <c r="C24" s="242"/>
      <c r="D24" s="242"/>
      <c r="E24" s="242"/>
      <c r="F24" s="242"/>
      <c r="G24" s="242"/>
      <c r="H24" s="242"/>
      <c r="I24" s="242"/>
      <c r="J24" s="242"/>
    </row>
    <row r="25" spans="1:10" ht="32" x14ac:dyDescent="0.2">
      <c r="B25" s="13" t="s">
        <v>29</v>
      </c>
      <c r="C25" s="13" t="s">
        <v>17</v>
      </c>
      <c r="D25" s="13" t="s">
        <v>134</v>
      </c>
      <c r="E25" s="13" t="s">
        <v>137</v>
      </c>
      <c r="F25" s="13" t="s">
        <v>13</v>
      </c>
      <c r="G25" s="13" t="s">
        <v>135</v>
      </c>
      <c r="H25" s="13" t="s">
        <v>143</v>
      </c>
      <c r="I25" s="13" t="s">
        <v>131</v>
      </c>
      <c r="J25" s="111" t="s">
        <v>136</v>
      </c>
    </row>
    <row r="26" spans="1:10" ht="16" x14ac:dyDescent="0.2">
      <c r="A26" s="14" t="s">
        <v>0</v>
      </c>
      <c r="B26" s="18">
        <v>39493233.333333336</v>
      </c>
      <c r="C26" s="1">
        <v>0.27022138623394842</v>
      </c>
      <c r="D26" s="20">
        <f>C26/$C$38</f>
        <v>6.1601425141010649E-2</v>
      </c>
      <c r="E26" s="6">
        <f t="shared" ref="E26:E37" si="4">D26*0.5*$B$6</f>
        <v>2814556.5480020479</v>
      </c>
      <c r="F26" s="4">
        <v>20012870.843441181</v>
      </c>
      <c r="G26" s="20">
        <f t="shared" ref="G26:G37" si="5">F26/$F$38</f>
        <v>1.4657466186185903E-2</v>
      </c>
      <c r="H26" s="6">
        <f>G26*0.5*$B$6</f>
        <v>669696.63992373191</v>
      </c>
      <c r="I26" s="18">
        <f>E26+H26</f>
        <v>3484253.1879257797</v>
      </c>
      <c r="J26" s="112">
        <f t="shared" ref="J26:J37" si="6">I26/B26</f>
        <v>8.8224054954370565E-2</v>
      </c>
    </row>
    <row r="27" spans="1:10" ht="16" x14ac:dyDescent="0.2">
      <c r="A27" s="14" t="s">
        <v>1</v>
      </c>
      <c r="B27" s="18">
        <v>42979166.666666664</v>
      </c>
      <c r="C27" s="1">
        <v>0.40465202264680311</v>
      </c>
      <c r="D27" s="20">
        <f t="shared" ref="D27:D37" si="7">C27/$C$38</f>
        <v>9.2247107561111097E-2</v>
      </c>
      <c r="E27" s="6">
        <f t="shared" si="4"/>
        <v>4214751.5260572238</v>
      </c>
      <c r="F27" s="4">
        <v>66753996.300633401</v>
      </c>
      <c r="G27" s="20">
        <f t="shared" si="5"/>
        <v>4.8890758913280978E-2</v>
      </c>
      <c r="H27" s="6">
        <f>G27*0.5*$B$6</f>
        <v>2233808.8010329898</v>
      </c>
      <c r="I27" s="18">
        <f t="shared" ref="I27:I37" si="8">E27+H27</f>
        <v>6448560.3270902131</v>
      </c>
      <c r="J27" s="112">
        <f t="shared" si="6"/>
        <v>0.1500392126516385</v>
      </c>
    </row>
    <row r="28" spans="1:10" ht="16" x14ac:dyDescent="0.2">
      <c r="A28" s="14" t="s">
        <v>2</v>
      </c>
      <c r="B28" s="18">
        <v>23966733.333333332</v>
      </c>
      <c r="C28" s="1">
        <v>0.53317196549348389</v>
      </c>
      <c r="D28" s="20">
        <f t="shared" si="7"/>
        <v>0.1215453498236332</v>
      </c>
      <c r="E28" s="6">
        <f t="shared" si="4"/>
        <v>5553382.2381904367</v>
      </c>
      <c r="F28" s="4">
        <v>59635517.784009449</v>
      </c>
      <c r="G28" s="20">
        <f t="shared" si="5"/>
        <v>4.3677171169136747E-2</v>
      </c>
      <c r="H28" s="6">
        <f t="shared" ref="H28:H37" si="9">G28*0.5*$B$6</f>
        <v>1995601.0405749395</v>
      </c>
      <c r="I28" s="18">
        <f t="shared" si="8"/>
        <v>7548983.2787653767</v>
      </c>
      <c r="J28" s="112">
        <f t="shared" si="6"/>
        <v>0.31497756384955994</v>
      </c>
    </row>
    <row r="29" spans="1:10" ht="16" x14ac:dyDescent="0.2">
      <c r="A29" s="14" t="s">
        <v>3</v>
      </c>
      <c r="B29" s="18">
        <v>71966633.333333328</v>
      </c>
      <c r="C29" s="1">
        <v>0.49058451667009628</v>
      </c>
      <c r="D29" s="20">
        <f t="shared" si="7"/>
        <v>0.1118368379356465</v>
      </c>
      <c r="E29" s="6">
        <f t="shared" si="4"/>
        <v>5109802.3105647499</v>
      </c>
      <c r="F29" s="4">
        <v>234399775.04964378</v>
      </c>
      <c r="G29" s="20">
        <f t="shared" si="5"/>
        <v>0.17167485883044711</v>
      </c>
      <c r="H29" s="6">
        <f t="shared" si="9"/>
        <v>7843789.2782919277</v>
      </c>
      <c r="I29" s="18">
        <f t="shared" si="8"/>
        <v>12953591.588856678</v>
      </c>
      <c r="J29" s="112">
        <f t="shared" si="6"/>
        <v>0.17999440836503416</v>
      </c>
    </row>
    <row r="30" spans="1:10" ht="16" x14ac:dyDescent="0.2">
      <c r="A30" s="14" t="s">
        <v>4</v>
      </c>
      <c r="B30" s="18">
        <v>36752500</v>
      </c>
      <c r="C30" s="1">
        <v>0.58754644939577427</v>
      </c>
      <c r="D30" s="20">
        <f t="shared" si="7"/>
        <v>0.13394091090919474</v>
      </c>
      <c r="E30" s="6">
        <f t="shared" si="4"/>
        <v>6119732.8954952825</v>
      </c>
      <c r="F30" s="4">
        <v>96491379.044015497</v>
      </c>
      <c r="G30" s="20">
        <f t="shared" si="5"/>
        <v>7.0670476847634237E-2</v>
      </c>
      <c r="H30" s="6">
        <f t="shared" si="9"/>
        <v>3228919.6703911312</v>
      </c>
      <c r="I30" s="18">
        <f t="shared" si="8"/>
        <v>9348652.5658864137</v>
      </c>
      <c r="J30" s="112">
        <f t="shared" si="6"/>
        <v>0.25436779990167779</v>
      </c>
    </row>
    <row r="31" spans="1:10" ht="16" x14ac:dyDescent="0.2">
      <c r="A31" s="14" t="s">
        <v>5</v>
      </c>
      <c r="B31" s="18">
        <v>90757866.666666672</v>
      </c>
      <c r="C31" s="1">
        <v>0.46020371653692282</v>
      </c>
      <c r="D31" s="20">
        <f t="shared" si="7"/>
        <v>0.1049110330938809</v>
      </c>
      <c r="E31" s="6">
        <f t="shared" si="4"/>
        <v>4793363.7002086677</v>
      </c>
      <c r="F31" s="4">
        <v>187745917.65696073</v>
      </c>
      <c r="G31" s="20">
        <f t="shared" si="5"/>
        <v>0.13750548140639293</v>
      </c>
      <c r="H31" s="6">
        <f t="shared" si="9"/>
        <v>6282597.3943398865</v>
      </c>
      <c r="I31" s="18">
        <f t="shared" si="8"/>
        <v>11075961.094548553</v>
      </c>
      <c r="J31" s="112">
        <f t="shared" si="6"/>
        <v>0.12203857914849496</v>
      </c>
    </row>
    <row r="32" spans="1:10" ht="16" x14ac:dyDescent="0.2">
      <c r="A32" s="14" t="s">
        <v>6</v>
      </c>
      <c r="B32" s="18">
        <v>135660014.72931176</v>
      </c>
      <c r="C32" s="1">
        <v>0.10412518484326631</v>
      </c>
      <c r="D32" s="20">
        <f t="shared" si="7"/>
        <v>2.3737054527072553E-2</v>
      </c>
      <c r="E32" s="6">
        <f t="shared" si="4"/>
        <v>1084541.1789828215</v>
      </c>
      <c r="F32" s="4">
        <v>30753929.338460058</v>
      </c>
      <c r="G32" s="20">
        <f t="shared" si="5"/>
        <v>2.2524238671063092E-2</v>
      </c>
      <c r="H32" s="6">
        <f t="shared" si="9"/>
        <v>1029127.8699361838</v>
      </c>
      <c r="I32" s="18">
        <f t="shared" si="8"/>
        <v>2113669.0489190053</v>
      </c>
      <c r="J32" s="112">
        <f t="shared" si="6"/>
        <v>1.5580634080989152E-2</v>
      </c>
    </row>
    <row r="33" spans="1:12" ht="16" x14ac:dyDescent="0.2">
      <c r="A33" s="14" t="s">
        <v>7</v>
      </c>
      <c r="B33" s="18">
        <v>63543851.937354892</v>
      </c>
      <c r="C33" s="1">
        <v>0.40529052806695692</v>
      </c>
      <c r="D33" s="20">
        <f t="shared" si="7"/>
        <v>9.239266541050975E-2</v>
      </c>
      <c r="E33" s="6">
        <f t="shared" si="4"/>
        <v>4221402.0345024467</v>
      </c>
      <c r="F33" s="4">
        <v>133280715.93843314</v>
      </c>
      <c r="G33" s="20">
        <f t="shared" si="5"/>
        <v>9.7615059949206232E-2</v>
      </c>
      <c r="H33" s="6">
        <f t="shared" si="9"/>
        <v>4460012.1756070033</v>
      </c>
      <c r="I33" s="18">
        <f t="shared" si="8"/>
        <v>8681414.2101094499</v>
      </c>
      <c r="J33" s="112">
        <f t="shared" si="6"/>
        <v>0.13662083656288379</v>
      </c>
    </row>
    <row r="34" spans="1:12" ht="16" x14ac:dyDescent="0.2">
      <c r="A34" s="14" t="s">
        <v>8</v>
      </c>
      <c r="B34" s="18">
        <v>252840398.47202086</v>
      </c>
      <c r="C34" s="1">
        <v>0.35335462691185071</v>
      </c>
      <c r="D34" s="20">
        <f t="shared" si="7"/>
        <v>8.0553019512285634E-2</v>
      </c>
      <c r="E34" s="6">
        <f t="shared" si="4"/>
        <v>3680451.0287003503</v>
      </c>
      <c r="F34" s="4">
        <v>321724913.92231125</v>
      </c>
      <c r="G34" s="20">
        <f t="shared" si="5"/>
        <v>0.23563196324805719</v>
      </c>
      <c r="H34" s="6">
        <f t="shared" si="9"/>
        <v>10765976.331883229</v>
      </c>
      <c r="I34" s="18">
        <f t="shared" si="8"/>
        <v>14446427.360583579</v>
      </c>
      <c r="J34" s="112">
        <f t="shared" si="6"/>
        <v>5.7136547196915646E-2</v>
      </c>
    </row>
    <row r="35" spans="1:12" ht="16" x14ac:dyDescent="0.2">
      <c r="A35" s="14" t="s">
        <v>9</v>
      </c>
      <c r="B35" s="18">
        <v>24934641.605156694</v>
      </c>
      <c r="C35" s="1">
        <v>0.29990402720987908</v>
      </c>
      <c r="D35" s="20">
        <f t="shared" si="7"/>
        <v>6.8368073079391217E-2</v>
      </c>
      <c r="E35" s="6">
        <f t="shared" si="4"/>
        <v>3123723.3119104765</v>
      </c>
      <c r="F35" s="4">
        <v>27802727.782648683</v>
      </c>
      <c r="G35" s="20">
        <f t="shared" si="5"/>
        <v>2.0362772814848808E-2</v>
      </c>
      <c r="H35" s="6">
        <f t="shared" si="9"/>
        <v>930370.93590478774</v>
      </c>
      <c r="I35" s="18">
        <f t="shared" si="8"/>
        <v>4054094.2478152644</v>
      </c>
      <c r="J35" s="112">
        <f t="shared" si="6"/>
        <v>0.16258883171502428</v>
      </c>
    </row>
    <row r="36" spans="1:12" ht="16" x14ac:dyDescent="0.2">
      <c r="A36" s="14" t="s">
        <v>10</v>
      </c>
      <c r="B36" s="18">
        <v>308098926.5894891</v>
      </c>
      <c r="C36" s="1">
        <v>8.9171641702467788E-2</v>
      </c>
      <c r="D36" s="20">
        <f t="shared" si="7"/>
        <v>2.0328147551873836E-2</v>
      </c>
      <c r="E36" s="6">
        <f t="shared" si="4"/>
        <v>928788.91470301501</v>
      </c>
      <c r="F36" s="4">
        <v>110876434.44093692</v>
      </c>
      <c r="G36" s="20">
        <f t="shared" si="5"/>
        <v>8.1206119870378679E-2</v>
      </c>
      <c r="H36" s="6">
        <f t="shared" si="9"/>
        <v>3710291.0508291484</v>
      </c>
      <c r="I36" s="18">
        <f t="shared" si="8"/>
        <v>4639079.9655321632</v>
      </c>
      <c r="J36" s="112">
        <f t="shared" si="6"/>
        <v>1.5057111742921687E-2</v>
      </c>
    </row>
    <row r="37" spans="1:12" ht="16" x14ac:dyDescent="0.2">
      <c r="A37" s="14" t="s">
        <v>11</v>
      </c>
      <c r="B37" s="18">
        <v>51250933.333333336</v>
      </c>
      <c r="C37" s="1">
        <v>0.38838326378685378</v>
      </c>
      <c r="D37" s="20">
        <f t="shared" si="7"/>
        <v>8.8538375454390764E-2</v>
      </c>
      <c r="E37" s="6">
        <f t="shared" si="4"/>
        <v>4045300.3126825211</v>
      </c>
      <c r="F37" s="4">
        <v>75892247.402372122</v>
      </c>
      <c r="G37" s="20">
        <f t="shared" si="5"/>
        <v>5.5583632093367918E-2</v>
      </c>
      <c r="H37" s="6">
        <f t="shared" si="9"/>
        <v>2539604.8112850334</v>
      </c>
      <c r="I37" s="18">
        <f t="shared" si="8"/>
        <v>6584905.1239675544</v>
      </c>
      <c r="J37" s="112">
        <f t="shared" si="6"/>
        <v>0.1284836137742055</v>
      </c>
    </row>
    <row r="38" spans="1:12" x14ac:dyDescent="0.2">
      <c r="B38" s="30">
        <f>SUM(B26:B37)</f>
        <v>1142244899.9999998</v>
      </c>
      <c r="C38" s="21">
        <v>4.3866093294982997</v>
      </c>
      <c r="E38" s="30">
        <f>SUM(E26:E37)</f>
        <v>45689796.000000045</v>
      </c>
      <c r="F38" s="30">
        <f>SUM(F26:F37)</f>
        <v>1365370425.5038664</v>
      </c>
      <c r="G38" s="30"/>
      <c r="H38" s="30">
        <f>SUM(H26:H37)</f>
        <v>45689795.999999993</v>
      </c>
      <c r="I38" s="30">
        <f>SUM(I26:I37)</f>
        <v>91379592.000000045</v>
      </c>
    </row>
    <row r="40" spans="1:12" ht="19" x14ac:dyDescent="0.25">
      <c r="A40" s="242" t="s">
        <v>140</v>
      </c>
      <c r="B40" s="242"/>
      <c r="C40" s="242"/>
      <c r="D40" s="242"/>
      <c r="E40" s="242"/>
      <c r="F40" s="242"/>
      <c r="G40" s="242"/>
      <c r="H40" s="242"/>
      <c r="I40" s="242"/>
      <c r="J40" s="242"/>
    </row>
    <row r="41" spans="1:12" ht="32" x14ac:dyDescent="0.2">
      <c r="B41" s="13" t="s">
        <v>29</v>
      </c>
      <c r="C41" s="13" t="s">
        <v>141</v>
      </c>
      <c r="D41" s="13" t="s">
        <v>142</v>
      </c>
      <c r="E41" s="13" t="s">
        <v>17</v>
      </c>
      <c r="F41" s="13" t="s">
        <v>134</v>
      </c>
      <c r="G41" s="13" t="s">
        <v>137</v>
      </c>
      <c r="H41" s="13" t="s">
        <v>13</v>
      </c>
      <c r="I41" s="13" t="s">
        <v>135</v>
      </c>
      <c r="J41" s="13" t="s">
        <v>143</v>
      </c>
      <c r="K41" s="13" t="s">
        <v>131</v>
      </c>
      <c r="L41" s="111" t="s">
        <v>136</v>
      </c>
    </row>
    <row r="42" spans="1:12" ht="16" x14ac:dyDescent="0.2">
      <c r="A42" s="14" t="s">
        <v>0</v>
      </c>
      <c r="B42" s="18">
        <v>39493233.333333336</v>
      </c>
      <c r="C42" s="114">
        <f>MIN($B$4,($B$3*0.5))*$B$5</f>
        <v>1.9999999799999998E-2</v>
      </c>
      <c r="D42" s="18">
        <f>C42*B42</f>
        <v>789864.65876801999</v>
      </c>
      <c r="E42" s="1">
        <v>0.27022138623394842</v>
      </c>
      <c r="F42" s="20">
        <f>E42/$E$54</f>
        <v>6.1601425141010649E-2</v>
      </c>
      <c r="G42" s="6">
        <f>F42*0.5*($B$6-D$54)</f>
        <v>2110917.4180379272</v>
      </c>
      <c r="H42" s="4">
        <v>20012870.843441181</v>
      </c>
      <c r="I42" s="20">
        <f>H42/$H$54</f>
        <v>1.4657466186185903E-2</v>
      </c>
      <c r="J42" s="6">
        <f>I42*0.5*($B$6-D$54)</f>
        <v>502272.48161704058</v>
      </c>
      <c r="K42" s="18">
        <f>D42+G42+J42</f>
        <v>3403054.5584229878</v>
      </c>
      <c r="L42" s="112">
        <f t="shared" ref="L42:L53" si="10">K42/B42</f>
        <v>8.6168041236338061E-2</v>
      </c>
    </row>
    <row r="43" spans="1:12" ht="16" x14ac:dyDescent="0.2">
      <c r="A43" s="14" t="s">
        <v>1</v>
      </c>
      <c r="B43" s="18">
        <v>42979166.666666664</v>
      </c>
      <c r="C43" s="114">
        <f t="shared" ref="C43:C53" si="11">MIN($B$4,($B$3*0.5))*$B$5</f>
        <v>1.9999999799999998E-2</v>
      </c>
      <c r="D43" s="18">
        <f t="shared" ref="D43:D53" si="12">C43*B43</f>
        <v>859583.32473749982</v>
      </c>
      <c r="E43" s="1">
        <v>0.40465202264680311</v>
      </c>
      <c r="F43" s="20">
        <f t="shared" ref="F43:F53" si="13">E43/$E$54</f>
        <v>9.2247107561111097E-2</v>
      </c>
      <c r="G43" s="6">
        <f t="shared" ref="G43:G53" si="14">F43*0.5*($B$6-D$54)</f>
        <v>3161063.6550797969</v>
      </c>
      <c r="H43" s="4">
        <v>66753996.300633363</v>
      </c>
      <c r="I43" s="20">
        <f>H43/$H$54</f>
        <v>4.889075891328095E-2</v>
      </c>
      <c r="J43" s="6">
        <f t="shared" ref="J43:J53" si="15">I43*0.5*($B$6-D$54)</f>
        <v>1675356.6063592634</v>
      </c>
      <c r="K43" s="18">
        <f t="shared" ref="K43:K53" si="16">D43+G43+J43</f>
        <v>5696003.5861765603</v>
      </c>
      <c r="L43" s="112">
        <f t="shared" si="10"/>
        <v>0.1325294096638269</v>
      </c>
    </row>
    <row r="44" spans="1:12" ht="16" x14ac:dyDescent="0.2">
      <c r="A44" s="14" t="s">
        <v>2</v>
      </c>
      <c r="B44" s="18">
        <v>23966733.333333332</v>
      </c>
      <c r="C44" s="114">
        <f t="shared" si="11"/>
        <v>1.9999999799999998E-2</v>
      </c>
      <c r="D44" s="18">
        <f t="shared" si="12"/>
        <v>479334.66187331994</v>
      </c>
      <c r="E44" s="1">
        <v>0.53317196549348389</v>
      </c>
      <c r="F44" s="20">
        <f t="shared" si="13"/>
        <v>0.1215453498236332</v>
      </c>
      <c r="G44" s="6">
        <f t="shared" si="14"/>
        <v>4165036.6925262837</v>
      </c>
      <c r="H44" s="4">
        <v>59635517.784009449</v>
      </c>
      <c r="I44" s="20">
        <f t="shared" ref="I44:I53" si="17">H44/$H$54</f>
        <v>4.3677171169136747E-2</v>
      </c>
      <c r="J44" s="6">
        <f t="shared" si="15"/>
        <v>1496700.7854202073</v>
      </c>
      <c r="K44" s="18">
        <f t="shared" si="16"/>
        <v>6141072.1398198111</v>
      </c>
      <c r="L44" s="112">
        <f t="shared" si="10"/>
        <v>0.25623317347461388</v>
      </c>
    </row>
    <row r="45" spans="1:12" ht="16" x14ac:dyDescent="0.2">
      <c r="A45" s="14" t="s">
        <v>3</v>
      </c>
      <c r="B45" s="18">
        <v>71966633.333333328</v>
      </c>
      <c r="C45" s="114">
        <f t="shared" si="11"/>
        <v>1.9999999799999998E-2</v>
      </c>
      <c r="D45" s="18">
        <f t="shared" si="12"/>
        <v>1439332.6522733397</v>
      </c>
      <c r="E45" s="1">
        <v>0.49058451667009628</v>
      </c>
      <c r="F45" s="20">
        <f t="shared" si="13"/>
        <v>0.1118368379356465</v>
      </c>
      <c r="G45" s="6">
        <f t="shared" si="14"/>
        <v>3832351.7456980683</v>
      </c>
      <c r="H45" s="4">
        <v>234399775.04964378</v>
      </c>
      <c r="I45" s="20">
        <f t="shared" si="17"/>
        <v>0.17167485883044711</v>
      </c>
      <c r="J45" s="6">
        <f t="shared" si="15"/>
        <v>5882841.9783284189</v>
      </c>
      <c r="K45" s="18">
        <f t="shared" si="16"/>
        <v>11154526.376299828</v>
      </c>
      <c r="L45" s="112">
        <f t="shared" si="10"/>
        <v>0.15499580652376166</v>
      </c>
    </row>
    <row r="46" spans="1:12" ht="16" x14ac:dyDescent="0.2">
      <c r="A46" s="14" t="s">
        <v>4</v>
      </c>
      <c r="B46" s="18">
        <v>36752500</v>
      </c>
      <c r="C46" s="114">
        <f t="shared" si="11"/>
        <v>1.9999999799999998E-2</v>
      </c>
      <c r="D46" s="18">
        <f t="shared" si="12"/>
        <v>735049.99264949991</v>
      </c>
      <c r="E46" s="1">
        <v>0.58754644939577427</v>
      </c>
      <c r="F46" s="20">
        <f t="shared" si="13"/>
        <v>0.13394091090919474</v>
      </c>
      <c r="G46" s="6">
        <f t="shared" si="14"/>
        <v>4589799.6869207947</v>
      </c>
      <c r="H46" s="4">
        <v>96491379.044015497</v>
      </c>
      <c r="I46" s="20">
        <f t="shared" si="17"/>
        <v>7.0670476847634237E-2</v>
      </c>
      <c r="J46" s="6">
        <f t="shared" si="15"/>
        <v>2421689.7608656478</v>
      </c>
      <c r="K46" s="18">
        <f t="shared" si="16"/>
        <v>7746539.4404359423</v>
      </c>
      <c r="L46" s="112">
        <f t="shared" si="10"/>
        <v>0.21077585036217789</v>
      </c>
    </row>
    <row r="47" spans="1:12" ht="16" x14ac:dyDescent="0.2">
      <c r="A47" s="14" t="s">
        <v>5</v>
      </c>
      <c r="B47" s="18">
        <v>90757866.666666672</v>
      </c>
      <c r="C47" s="114">
        <f t="shared" si="11"/>
        <v>1.9999999799999998E-2</v>
      </c>
      <c r="D47" s="18">
        <f t="shared" si="12"/>
        <v>1815157.3151817599</v>
      </c>
      <c r="E47" s="1">
        <v>0.46020371653692282</v>
      </c>
      <c r="F47" s="20">
        <f t="shared" si="13"/>
        <v>0.1049110330938809</v>
      </c>
      <c r="G47" s="6">
        <f t="shared" si="14"/>
        <v>3595022.7871399103</v>
      </c>
      <c r="H47" s="4">
        <v>187745917.65696073</v>
      </c>
      <c r="I47" s="20">
        <f t="shared" si="17"/>
        <v>0.13750548140639293</v>
      </c>
      <c r="J47" s="6">
        <f t="shared" si="15"/>
        <v>4711948.0614614086</v>
      </c>
      <c r="K47" s="18">
        <f t="shared" si="16"/>
        <v>10122128.163783079</v>
      </c>
      <c r="L47" s="112">
        <f t="shared" si="10"/>
        <v>0.11152893446646768</v>
      </c>
    </row>
    <row r="48" spans="1:12" ht="16" x14ac:dyDescent="0.2">
      <c r="A48" s="14" t="s">
        <v>6</v>
      </c>
      <c r="B48" s="18">
        <v>135660014.72931176</v>
      </c>
      <c r="C48" s="114">
        <f t="shared" si="11"/>
        <v>1.9999999799999998E-2</v>
      </c>
      <c r="D48" s="18">
        <f t="shared" si="12"/>
        <v>2713200.2674542321</v>
      </c>
      <c r="E48" s="1">
        <v>0.10412518484326631</v>
      </c>
      <c r="F48" s="20">
        <f t="shared" si="13"/>
        <v>2.3737054527072553E-2</v>
      </c>
      <c r="G48" s="6">
        <f t="shared" si="14"/>
        <v>813405.88694846909</v>
      </c>
      <c r="H48" s="4">
        <v>30753929.338460058</v>
      </c>
      <c r="I48" s="20">
        <f t="shared" si="17"/>
        <v>2.2524238671063092E-2</v>
      </c>
      <c r="J48" s="6">
        <f t="shared" si="15"/>
        <v>771845.90502495761</v>
      </c>
      <c r="K48" s="18">
        <f t="shared" si="16"/>
        <v>4298452.059427659</v>
      </c>
      <c r="L48" s="112">
        <f t="shared" si="10"/>
        <v>3.168547539969345E-2</v>
      </c>
    </row>
    <row r="49" spans="1:12" ht="16" x14ac:dyDescent="0.2">
      <c r="A49" s="14" t="s">
        <v>7</v>
      </c>
      <c r="B49" s="18">
        <v>63543851.937354892</v>
      </c>
      <c r="C49" s="114">
        <f t="shared" si="11"/>
        <v>1.9999999799999998E-2</v>
      </c>
      <c r="D49" s="18">
        <f t="shared" si="12"/>
        <v>1270877.0260383273</v>
      </c>
      <c r="E49" s="1">
        <v>0.40529052806695692</v>
      </c>
      <c r="F49" s="20">
        <f t="shared" si="13"/>
        <v>9.239266541050975E-2</v>
      </c>
      <c r="G49" s="6">
        <f t="shared" si="14"/>
        <v>3166051.5364303403</v>
      </c>
      <c r="H49" s="4">
        <v>133280715.93843314</v>
      </c>
      <c r="I49" s="20">
        <f t="shared" si="17"/>
        <v>9.7615059949206232E-2</v>
      </c>
      <c r="J49" s="6">
        <f t="shared" si="15"/>
        <v>3345009.1428552829</v>
      </c>
      <c r="K49" s="18">
        <f t="shared" si="16"/>
        <v>7781937.7053239504</v>
      </c>
      <c r="L49" s="112">
        <f t="shared" si="10"/>
        <v>0.12246562756371494</v>
      </c>
    </row>
    <row r="50" spans="1:12" ht="16" x14ac:dyDescent="0.2">
      <c r="A50" s="14" t="s">
        <v>8</v>
      </c>
      <c r="B50" s="18">
        <v>252840398.47202086</v>
      </c>
      <c r="C50" s="114">
        <f t="shared" si="11"/>
        <v>1.9999999799999998E-2</v>
      </c>
      <c r="D50" s="18">
        <f t="shared" si="12"/>
        <v>5056807.9188723369</v>
      </c>
      <c r="E50" s="1">
        <v>0.35335462691185071</v>
      </c>
      <c r="F50" s="20">
        <f t="shared" si="13"/>
        <v>8.0553019512285634E-2</v>
      </c>
      <c r="G50" s="6">
        <f t="shared" si="14"/>
        <v>2760338.2807263904</v>
      </c>
      <c r="H50" s="4">
        <v>321724913.92231125</v>
      </c>
      <c r="I50" s="20">
        <f t="shared" si="17"/>
        <v>0.23563196324805719</v>
      </c>
      <c r="J50" s="6">
        <f t="shared" si="15"/>
        <v>8074482.2758273641</v>
      </c>
      <c r="K50" s="18">
        <f t="shared" si="16"/>
        <v>15891628.475426093</v>
      </c>
      <c r="L50" s="112">
        <f t="shared" si="10"/>
        <v>6.2852410340528117E-2</v>
      </c>
    </row>
    <row r="51" spans="1:12" ht="16" x14ac:dyDescent="0.2">
      <c r="A51" s="14" t="s">
        <v>9</v>
      </c>
      <c r="B51" s="18">
        <v>24934641.605156694</v>
      </c>
      <c r="C51" s="114">
        <f t="shared" si="11"/>
        <v>1.9999999799999998E-2</v>
      </c>
      <c r="D51" s="18">
        <f t="shared" si="12"/>
        <v>498692.82711620547</v>
      </c>
      <c r="E51" s="1">
        <v>0.29990402720987908</v>
      </c>
      <c r="F51" s="20">
        <f t="shared" si="13"/>
        <v>6.8368073079391217E-2</v>
      </c>
      <c r="G51" s="6">
        <f t="shared" si="14"/>
        <v>2342792.4917421658</v>
      </c>
      <c r="H51" s="4">
        <v>27802727.782648683</v>
      </c>
      <c r="I51" s="20">
        <f t="shared" si="17"/>
        <v>2.0362772814848808E-2</v>
      </c>
      <c r="J51" s="6">
        <f t="shared" si="15"/>
        <v>697778.20425451826</v>
      </c>
      <c r="K51" s="18">
        <f t="shared" si="16"/>
        <v>3539263.5231128894</v>
      </c>
      <c r="L51" s="112">
        <f t="shared" si="10"/>
        <v>0.14194162399274027</v>
      </c>
    </row>
    <row r="52" spans="1:12" ht="16" x14ac:dyDescent="0.2">
      <c r="A52" s="14" t="s">
        <v>10</v>
      </c>
      <c r="B52" s="18">
        <v>308098926.5894891</v>
      </c>
      <c r="C52" s="114">
        <f t="shared" si="11"/>
        <v>1.9999999799999998E-2</v>
      </c>
      <c r="D52" s="18">
        <f t="shared" si="12"/>
        <v>6161978.4701699959</v>
      </c>
      <c r="E52" s="1">
        <v>8.9171641702467788E-2</v>
      </c>
      <c r="F52" s="20">
        <f t="shared" si="13"/>
        <v>2.0328147551873836E-2</v>
      </c>
      <c r="G52" s="6">
        <f t="shared" si="14"/>
        <v>696591.68834923359</v>
      </c>
      <c r="H52" s="4">
        <v>110876434.44093692</v>
      </c>
      <c r="I52" s="20">
        <f t="shared" si="17"/>
        <v>8.1206119870378679E-2</v>
      </c>
      <c r="J52" s="6">
        <f t="shared" si="15"/>
        <v>2782718.2973975893</v>
      </c>
      <c r="K52" s="18">
        <f t="shared" si="16"/>
        <v>9641288.4559168182</v>
      </c>
      <c r="L52" s="112">
        <f t="shared" si="10"/>
        <v>3.1292833644834039E-2</v>
      </c>
    </row>
    <row r="53" spans="1:12" ht="16" x14ac:dyDescent="0.2">
      <c r="A53" s="14" t="s">
        <v>11</v>
      </c>
      <c r="B53" s="18">
        <v>51250933.333333336</v>
      </c>
      <c r="C53" s="114">
        <f t="shared" si="11"/>
        <v>1.9999999799999998E-2</v>
      </c>
      <c r="D53" s="18">
        <f t="shared" si="12"/>
        <v>1025018.65641648</v>
      </c>
      <c r="E53" s="1">
        <v>0.38838326378685378</v>
      </c>
      <c r="F53" s="20">
        <f t="shared" si="13"/>
        <v>8.8538375454390764E-2</v>
      </c>
      <c r="G53" s="6">
        <f t="shared" si="14"/>
        <v>3033975.2446251418</v>
      </c>
      <c r="H53" s="4">
        <v>75892247.402372122</v>
      </c>
      <c r="I53" s="20">
        <f t="shared" si="17"/>
        <v>5.5583632093367918E-2</v>
      </c>
      <c r="J53" s="6">
        <f t="shared" si="15"/>
        <v>1904703.6148127872</v>
      </c>
      <c r="K53" s="18">
        <f t="shared" si="16"/>
        <v>5963697.515854409</v>
      </c>
      <c r="L53" s="112">
        <f t="shared" si="10"/>
        <v>0.11636271045186317</v>
      </c>
    </row>
    <row r="54" spans="1:12" x14ac:dyDescent="0.2">
      <c r="B54" s="30">
        <f>SUM(B42:B53)</f>
        <v>1142244899.9999998</v>
      </c>
      <c r="C54" s="30"/>
      <c r="D54" s="30">
        <f>SUM(D42:D53)</f>
        <v>22844897.771551017</v>
      </c>
      <c r="E54" s="21">
        <v>4.3866093294982997</v>
      </c>
      <c r="G54" s="30">
        <f>SUM(G42:G53)</f>
        <v>34267347.114224523</v>
      </c>
      <c r="H54" s="30">
        <f>SUM(H42:H53)</f>
        <v>1365370425.5038664</v>
      </c>
      <c r="I54" s="30"/>
      <c r="J54" s="30">
        <f>SUM(J42:J53)</f>
        <v>34267347.114224479</v>
      </c>
      <c r="K54" s="30">
        <f>SUM(K42:K53)</f>
        <v>91379592.00000003</v>
      </c>
    </row>
    <row r="55" spans="1:12" x14ac:dyDescent="0.2">
      <c r="G55" s="6"/>
    </row>
  </sheetData>
  <mergeCells count="3">
    <mergeCell ref="A8:F8"/>
    <mergeCell ref="A24:J24"/>
    <mergeCell ref="A40:J40"/>
  </mergeCells>
  <conditionalFormatting sqref="C26:C37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2:E5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ACB7D-40B4-E445-8DC4-306BFA9E4519}">
  <dimension ref="B2:U36"/>
  <sheetViews>
    <sheetView zoomScale="140" zoomScaleNormal="140" workbookViewId="0">
      <selection activeCell="B5" sqref="B5"/>
    </sheetView>
  </sheetViews>
  <sheetFormatPr baseColWidth="10" defaultRowHeight="15" x14ac:dyDescent="0.2"/>
  <cols>
    <col min="2" max="2" width="37" bestFit="1" customWidth="1"/>
    <col min="3" max="4" width="13.6640625" bestFit="1" customWidth="1"/>
    <col min="21" max="21" width="14" customWidth="1"/>
  </cols>
  <sheetData>
    <row r="2" spans="2:21" x14ac:dyDescent="0.2">
      <c r="B2" s="1211" t="s">
        <v>228</v>
      </c>
      <c r="C2" s="1211"/>
      <c r="D2" s="1211"/>
      <c r="E2" s="1212"/>
      <c r="F2" s="1211"/>
      <c r="G2" s="1211"/>
      <c r="H2" s="1211"/>
      <c r="I2" s="1211"/>
    </row>
    <row r="3" spans="2:21" x14ac:dyDescent="0.2">
      <c r="E3" s="20"/>
    </row>
    <row r="4" spans="2:21" ht="21" x14ac:dyDescent="0.25">
      <c r="B4" s="52" t="str">
        <f>_xlfn.CONCAT("State Approp Increase:  ",'Model -Guard + Adeq $ and %'!C4*100,"%     Guardrail Factor:  ",'Model -Guard + Adeq $ and %'!C8*100,"%     Inflation:  ",'Model -Guard + Adeq $ and %'!C5*100,"%")</f>
        <v>State Approp Increase:  12%     Guardrail Factor:  100%     Inflation:  3%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6" spans="2:21" ht="19" customHeight="1" x14ac:dyDescent="0.25">
      <c r="B6" s="12" t="s">
        <v>66</v>
      </c>
    </row>
    <row r="7" spans="2:21" ht="32" x14ac:dyDescent="0.2">
      <c r="B7" s="22" t="s">
        <v>12</v>
      </c>
      <c r="C7" s="13" t="s">
        <v>15</v>
      </c>
      <c r="D7" s="13" t="s">
        <v>13</v>
      </c>
      <c r="E7" s="13" t="s">
        <v>37</v>
      </c>
      <c r="F7" s="13" t="s">
        <v>35</v>
      </c>
      <c r="G7" s="13" t="s">
        <v>36</v>
      </c>
      <c r="H7" s="13" t="s">
        <v>38</v>
      </c>
      <c r="I7" s="13" t="s">
        <v>39</v>
      </c>
      <c r="J7" s="13" t="s">
        <v>40</v>
      </c>
      <c r="K7" s="13" t="s">
        <v>41</v>
      </c>
      <c r="L7" s="13" t="s">
        <v>42</v>
      </c>
      <c r="M7" s="13" t="s">
        <v>43</v>
      </c>
      <c r="N7" s="13" t="s">
        <v>44</v>
      </c>
      <c r="O7" s="13" t="s">
        <v>45</v>
      </c>
      <c r="P7" s="13" t="s">
        <v>46</v>
      </c>
      <c r="Q7" s="54" t="s">
        <v>47</v>
      </c>
      <c r="R7" s="54" t="s">
        <v>75</v>
      </c>
      <c r="S7" s="54" t="s">
        <v>76</v>
      </c>
      <c r="T7" s="55" t="s">
        <v>77</v>
      </c>
      <c r="U7" s="8"/>
    </row>
    <row r="8" spans="2:21" x14ac:dyDescent="0.2">
      <c r="B8" s="14" t="s">
        <v>0</v>
      </c>
      <c r="C8" s="2">
        <f>'Model -Guard + Adeq $ and %'!AY11</f>
        <v>74061017.606188729</v>
      </c>
      <c r="D8" s="2">
        <f>'Model -Guard + Adeq $ and %'!AZ11</f>
        <v>20012870.843441181</v>
      </c>
      <c r="E8" s="24">
        <f>'Model -Guard + Adeq $ and %'!BA11</f>
        <v>0.33730453415034878</v>
      </c>
      <c r="F8" s="24">
        <f>'Model -Guard + Adeq $ and %'!BB11</f>
        <v>0.27829378744307659</v>
      </c>
      <c r="G8" s="24">
        <f>'Model -Guard + Adeq $ and %'!BC11</f>
        <v>0.22012247570103796</v>
      </c>
      <c r="H8" s="24">
        <f>'Model -Guard + Adeq $ and %'!BD11</f>
        <v>0.16420399731395086</v>
      </c>
      <c r="I8" s="24">
        <f>'Model -Guard + Adeq $ and %'!BE11</f>
        <v>0.11237862481960599</v>
      </c>
      <c r="J8" s="24">
        <f>'Model -Guard + Adeq $ and %'!BF11</f>
        <v>6.6988563393309636E-2</v>
      </c>
      <c r="K8" s="24">
        <f>'Model -Guard + Adeq $ and %'!BG11</f>
        <v>3.0895512043361679E-2</v>
      </c>
      <c r="L8" s="24">
        <f>'Model -Guard + Adeq $ and %'!BH11</f>
        <v>7.268229107356753E-3</v>
      </c>
      <c r="M8" s="24">
        <f>'Model -Guard + Adeq $ and %'!BI11</f>
        <v>0</v>
      </c>
      <c r="N8" s="24">
        <f>'Model -Guard + Adeq $ and %'!BJ11</f>
        <v>0</v>
      </c>
      <c r="O8" s="24">
        <f>'Model -Guard + Adeq $ and %'!BK11</f>
        <v>0</v>
      </c>
      <c r="P8" s="24" t="e">
        <f>'Model -Guard + Adeq $ and %'!BL11</f>
        <v>#DIV/0!</v>
      </c>
      <c r="Q8" s="56" t="e">
        <f>'Model -Guard + Adeq $ and %'!BM11</f>
        <v>#DIV/0!</v>
      </c>
      <c r="R8" s="56" t="e">
        <f>'Model -Guard + Adeq $ and %'!BN11</f>
        <v>#DIV/0!</v>
      </c>
      <c r="S8" s="56" t="e">
        <f>'Model -Guard + Adeq $ and %'!BO11</f>
        <v>#DIV/0!</v>
      </c>
      <c r="T8" s="60" t="e">
        <f>'Model -Guard + Adeq $ and %'!BP11</f>
        <v>#DIV/0!</v>
      </c>
      <c r="U8" s="1"/>
    </row>
    <row r="9" spans="2:21" x14ac:dyDescent="0.2">
      <c r="B9" s="14" t="s">
        <v>1</v>
      </c>
      <c r="C9" s="2">
        <f>'Model -Guard + Adeq $ and %'!AY12</f>
        <v>164966421.92469403</v>
      </c>
      <c r="D9" s="2">
        <f>'Model -Guard + Adeq $ and %'!AZ12</f>
        <v>66753996.300633356</v>
      </c>
      <c r="E9" s="24">
        <f>'Model -Guard + Adeq $ and %'!BA12</f>
        <v>0.40625719918484365</v>
      </c>
      <c r="F9" s="24">
        <f>'Model -Guard + Adeq $ and %'!BB12</f>
        <v>0.36538089917305033</v>
      </c>
      <c r="G9" s="24">
        <f>'Model -Guard + Adeq $ and %'!BC12</f>
        <v>0.32162998320545444</v>
      </c>
      <c r="H9" s="24">
        <f>'Model -Guard + Adeq $ and %'!BD12</f>
        <v>0.27504321352963956</v>
      </c>
      <c r="I9" s="24">
        <f>'Model -Guard + Adeq $ and %'!BE12</f>
        <v>0.22581883322215712</v>
      </c>
      <c r="J9" s="24">
        <f>'Model -Guard + Adeq $ and %'!BF12</f>
        <v>0.17444067868774846</v>
      </c>
      <c r="K9" s="24">
        <f>'Model -Guard + Adeq $ and %'!BG12</f>
        <v>0.12192575564849492</v>
      </c>
      <c r="L9" s="24">
        <f>'Model -Guard + Adeq $ and %'!BH12</f>
        <v>7.0357159028477056E-2</v>
      </c>
      <c r="M9" s="24">
        <f>'Model -Guard + Adeq $ and %'!BI12</f>
        <v>2.4194949254444299E-2</v>
      </c>
      <c r="N9" s="24">
        <f>'Model -Guard + Adeq $ and %'!BJ12</f>
        <v>0</v>
      </c>
      <c r="O9" s="24">
        <f>'Model -Guard + Adeq $ and %'!BK12</f>
        <v>0</v>
      </c>
      <c r="P9" s="24" t="e">
        <f>'Model -Guard + Adeq $ and %'!BL12</f>
        <v>#DIV/0!</v>
      </c>
      <c r="Q9" s="24" t="e">
        <f>'Model -Guard + Adeq $ and %'!BM12</f>
        <v>#DIV/0!</v>
      </c>
      <c r="R9" s="24" t="e">
        <f>'Model -Guard + Adeq $ and %'!BN12</f>
        <v>#DIV/0!</v>
      </c>
      <c r="S9" s="24" t="e">
        <f>'Model -Guard + Adeq $ and %'!BO12</f>
        <v>#DIV/0!</v>
      </c>
      <c r="T9" s="61" t="e">
        <f>'Model -Guard + Adeq $ and %'!BP12</f>
        <v>#DIV/0!</v>
      </c>
      <c r="U9" s="1"/>
    </row>
    <row r="10" spans="2:21" x14ac:dyDescent="0.2">
      <c r="B10" s="14" t="s">
        <v>2</v>
      </c>
      <c r="C10" s="2">
        <f>'Model -Guard + Adeq $ and %'!AY13</f>
        <v>111850437.83915582</v>
      </c>
      <c r="D10" s="2">
        <f>'Model -Guard + Adeq $ and %'!AZ13</f>
        <v>59635517.784009442</v>
      </c>
      <c r="E10" s="24">
        <f>'Model -Guard + Adeq $ and %'!BA13</f>
        <v>0.56529432312085603</v>
      </c>
      <c r="F10" s="24">
        <f>'Model -Guard + Adeq $ and %'!BB13</f>
        <v>0.49174019567687932</v>
      </c>
      <c r="G10" s="24">
        <f>'Model -Guard + Adeq $ and %'!BC13</f>
        <v>0.41543386131113758</v>
      </c>
      <c r="H10" s="24">
        <f>'Model -Guard + Adeq $ and %'!BD13</f>
        <v>0.33725793318503061</v>
      </c>
      <c r="I10" s="24">
        <f>'Model -Guard + Adeq $ and %'!BE13</f>
        <v>0.25860931652134694</v>
      </c>
      <c r="J10" s="24">
        <f>'Model -Guard + Adeq $ and %'!BF13</f>
        <v>0.18166774780243444</v>
      </c>
      <c r="K10" s="24">
        <f>'Model -Guard + Adeq $ and %'!BG13</f>
        <v>0.10983601205877723</v>
      </c>
      <c r="L10" s="24">
        <f>'Model -Guard + Adeq $ and %'!BH13</f>
        <v>4.848167954766279E-2</v>
      </c>
      <c r="M10" s="24">
        <f>'Model -Guard + Adeq $ and %'!BI13</f>
        <v>6.1629250851813972E-3</v>
      </c>
      <c r="N10" s="24">
        <f>'Model -Guard + Adeq $ and %'!BJ13</f>
        <v>0</v>
      </c>
      <c r="O10" s="24">
        <f>'Model -Guard + Adeq $ and %'!BK13</f>
        <v>0</v>
      </c>
      <c r="P10" s="24" t="e">
        <f>'Model -Guard + Adeq $ and %'!BL13</f>
        <v>#DIV/0!</v>
      </c>
      <c r="Q10" s="24" t="e">
        <f>'Model -Guard + Adeq $ and %'!BM13</f>
        <v>#DIV/0!</v>
      </c>
      <c r="R10" s="24" t="e">
        <f>'Model -Guard + Adeq $ and %'!BN13</f>
        <v>#DIV/0!</v>
      </c>
      <c r="S10" s="24" t="e">
        <f>'Model -Guard + Adeq $ and %'!BO13</f>
        <v>#DIV/0!</v>
      </c>
      <c r="T10" s="61" t="e">
        <f>'Model -Guard + Adeq $ and %'!BP13</f>
        <v>#DIV/0!</v>
      </c>
      <c r="U10" s="1"/>
    </row>
    <row r="11" spans="2:21" x14ac:dyDescent="0.2">
      <c r="B11" s="14" t="s">
        <v>3</v>
      </c>
      <c r="C11" s="2">
        <f>'Model -Guard + Adeq $ and %'!AY14</f>
        <v>477796928.12292886</v>
      </c>
      <c r="D11" s="2">
        <f>'Model -Guard + Adeq $ and %'!AZ14</f>
        <v>234399775.04964375</v>
      </c>
      <c r="E11" s="24">
        <f>'Model -Guard + Adeq $ and %'!BA14</f>
        <v>0.45431180000906651</v>
      </c>
      <c r="F11" s="24">
        <f>'Model -Guard + Adeq $ and %'!BB14</f>
        <v>0.42793849608558876</v>
      </c>
      <c r="G11" s="24">
        <f>'Model -Guard + Adeq $ and %'!BC14</f>
        <v>0.39857766004929973</v>
      </c>
      <c r="H11" s="24">
        <f>'Model -Guard + Adeq $ and %'!BD14</f>
        <v>0.36576688900347559</v>
      </c>
      <c r="I11" s="24">
        <f>'Model -Guard + Adeq $ and %'!BE14</f>
        <v>0.32892710165382932</v>
      </c>
      <c r="J11" s="24">
        <f>'Model -Guard + Adeq $ and %'!BF14</f>
        <v>0.28731341521231657</v>
      </c>
      <c r="K11" s="24">
        <f>'Model -Guard + Adeq $ and %'!BG14</f>
        <v>0.23993487217755513</v>
      </c>
      <c r="L11" s="24">
        <f>'Model -Guard + Adeq $ and %'!BH14</f>
        <v>0.18541666225116221</v>
      </c>
      <c r="M11" s="24">
        <f>'Model -Guard + Adeq $ and %'!BI14</f>
        <v>0.12175708354237422</v>
      </c>
      <c r="N11" s="24">
        <f>'Model -Guard + Adeq $ and %'!BJ14</f>
        <v>4.6109567083100933E-2</v>
      </c>
      <c r="O11" s="24">
        <f>'Model -Guard + Adeq $ and %'!BK14</f>
        <v>0</v>
      </c>
      <c r="P11" s="24" t="e">
        <f>'Model -Guard + Adeq $ and %'!BL14</f>
        <v>#DIV/0!</v>
      </c>
      <c r="Q11" s="24" t="e">
        <f>'Model -Guard + Adeq $ and %'!BM14</f>
        <v>#DIV/0!</v>
      </c>
      <c r="R11" s="24" t="e">
        <f>'Model -Guard + Adeq $ and %'!BN14</f>
        <v>#DIV/0!</v>
      </c>
      <c r="S11" s="24" t="e">
        <f>'Model -Guard + Adeq $ and %'!BO14</f>
        <v>#DIV/0!</v>
      </c>
      <c r="T11" s="61" t="e">
        <f>'Model -Guard + Adeq $ and %'!BP14</f>
        <v>#DIV/0!</v>
      </c>
      <c r="U11" s="1"/>
    </row>
    <row r="12" spans="2:21" x14ac:dyDescent="0.2">
      <c r="B12" s="14" t="s">
        <v>4</v>
      </c>
      <c r="C12" s="2">
        <f>'Model -Guard + Adeq $ and %'!AY15</f>
        <v>164227660.88237971</v>
      </c>
      <c r="D12" s="2">
        <f>'Model -Guard + Adeq $ and %'!AZ15</f>
        <v>96491379.044015497</v>
      </c>
      <c r="E12" s="24">
        <f>'Model -Guard + Adeq $ and %'!BA15</f>
        <v>0.61785650633229827</v>
      </c>
      <c r="F12" s="24">
        <f>'Model -Guard + Adeq $ and %'!BB15</f>
        <v>0.55662228981515638</v>
      </c>
      <c r="G12" s="24">
        <f>'Model -Guard + Adeq $ and %'!BC15</f>
        <v>0.49098117360532001</v>
      </c>
      <c r="H12" s="24">
        <f>'Model -Guard + Adeq $ and %'!BD15</f>
        <v>0.42095312000785534</v>
      </c>
      <c r="I12" s="24">
        <f>'Model -Guard + Adeq $ and %'!BE15</f>
        <v>0.34678327723498042</v>
      </c>
      <c r="J12" s="24">
        <f>'Model -Guard + Adeq $ and %'!BF15</f>
        <v>0.26912536661891617</v>
      </c>
      <c r="K12" s="24">
        <f>'Model -Guard + Adeq $ and %'!BG15</f>
        <v>0.18940504978046882</v>
      </c>
      <c r="L12" s="24">
        <f>'Model -Guard + Adeq $ and %'!BH15</f>
        <v>0.11061054113556161</v>
      </c>
      <c r="M12" s="24">
        <f>'Model -Guard + Adeq $ and %'!BI15</f>
        <v>3.926431913537843E-2</v>
      </c>
      <c r="N12" s="24">
        <f>'Model -Guard + Adeq $ and %'!BJ15</f>
        <v>0</v>
      </c>
      <c r="O12" s="24">
        <f>'Model -Guard + Adeq $ and %'!BK15</f>
        <v>0</v>
      </c>
      <c r="P12" s="24" t="e">
        <f>'Model -Guard + Adeq $ and %'!BL15</f>
        <v>#DIV/0!</v>
      </c>
      <c r="Q12" s="24" t="e">
        <f>'Model -Guard + Adeq $ and %'!BM15</f>
        <v>#DIV/0!</v>
      </c>
      <c r="R12" s="24" t="e">
        <f>'Model -Guard + Adeq $ and %'!BN15</f>
        <v>#DIV/0!</v>
      </c>
      <c r="S12" s="24" t="e">
        <f>'Model -Guard + Adeq $ and %'!BO15</f>
        <v>#DIV/0!</v>
      </c>
      <c r="T12" s="61" t="e">
        <f>'Model -Guard + Adeq $ and %'!BP15</f>
        <v>#DIV/0!</v>
      </c>
      <c r="U12" s="1"/>
    </row>
    <row r="13" spans="2:21" x14ac:dyDescent="0.2">
      <c r="B13" s="14" t="s">
        <v>5</v>
      </c>
      <c r="C13" s="2">
        <f>'Model -Guard + Adeq $ and %'!AY16</f>
        <v>407962628.09385109</v>
      </c>
      <c r="D13" s="2">
        <f>'Model -Guard + Adeq $ and %'!AZ16</f>
        <v>187745917.65696079</v>
      </c>
      <c r="E13" s="24">
        <f>'Model -Guard + Adeq $ and %'!BA16</f>
        <v>0.45945381240166444</v>
      </c>
      <c r="F13" s="24">
        <f>'Model -Guard + Adeq $ and %'!BB16</f>
        <v>0.4309475834775901</v>
      </c>
      <c r="G13" s="24">
        <f>'Model -Guard + Adeq $ and %'!BC16</f>
        <v>0.39931346749487667</v>
      </c>
      <c r="H13" s="24">
        <f>'Model -Guard + Adeq $ and %'!BD16</f>
        <v>0.36410019144507777</v>
      </c>
      <c r="I13" s="24">
        <f>'Model -Guard + Adeq $ and %'!BE16</f>
        <v>0.3247558477273772</v>
      </c>
      <c r="J13" s="24">
        <f>'Model -Guard + Adeq $ and %'!BF16</f>
        <v>0.28059305825154779</v>
      </c>
      <c r="K13" s="24">
        <f>'Model -Guard + Adeq $ and %'!BG16</f>
        <v>0.23073945168676535</v>
      </c>
      <c r="L13" s="24">
        <f>'Model -Guard + Adeq $ and %'!BH16</f>
        <v>0.17407442176746502</v>
      </c>
      <c r="M13" s="24">
        <f>'Model -Guard + Adeq $ and %'!BI16</f>
        <v>0.1092019276079412</v>
      </c>
      <c r="N13" s="24">
        <f>'Model -Guard + Adeq $ and %'!BJ16</f>
        <v>3.5086268504999296E-2</v>
      </c>
      <c r="O13" s="24">
        <f>'Model -Guard + Adeq $ and %'!BK16</f>
        <v>0</v>
      </c>
      <c r="P13" s="24" t="e">
        <f>'Model -Guard + Adeq $ and %'!BL16</f>
        <v>#DIV/0!</v>
      </c>
      <c r="Q13" s="24" t="e">
        <f>'Model -Guard + Adeq $ and %'!BM16</f>
        <v>#DIV/0!</v>
      </c>
      <c r="R13" s="24" t="e">
        <f>'Model -Guard + Adeq $ and %'!BN16</f>
        <v>#DIV/0!</v>
      </c>
      <c r="S13" s="24" t="e">
        <f>'Model -Guard + Adeq $ and %'!BO16</f>
        <v>#DIV/0!</v>
      </c>
      <c r="T13" s="61" t="e">
        <f>'Model -Guard + Adeq $ and %'!BP16</f>
        <v>#DIV/0!</v>
      </c>
      <c r="U13" s="1"/>
    </row>
    <row r="14" spans="2:21" x14ac:dyDescent="0.2">
      <c r="B14" s="14" t="s">
        <v>6</v>
      </c>
      <c r="C14" s="2">
        <f>'Model -Guard + Adeq $ and %'!AY17</f>
        <v>295355339.6784091</v>
      </c>
      <c r="D14" s="2">
        <f>'Model -Guard + Adeq $ and %'!AZ17</f>
        <v>30753929.338460058</v>
      </c>
      <c r="E14" s="24">
        <f>'Model -Guard + Adeq $ and %'!BA17</f>
        <v>9.6439037408370981E-2</v>
      </c>
      <c r="F14" s="24">
        <f>'Model -Guard + Adeq $ and %'!BB17</f>
        <v>8.9485786573426568E-2</v>
      </c>
      <c r="G14" s="24">
        <f>'Model -Guard + Adeq $ and %'!BC17</f>
        <v>8.1836035068294483E-2</v>
      </c>
      <c r="H14" s="24">
        <f>'Model -Guard + Adeq $ and %'!BD17</f>
        <v>7.3410484491315028E-2</v>
      </c>
      <c r="I14" s="24">
        <f>'Model -Guard + Adeq $ and %'!BE17</f>
        <v>6.4120688208958346E-2</v>
      </c>
      <c r="J14" s="24">
        <f>'Model -Guard + Adeq $ and %'!BF17</f>
        <v>5.3870962723859293E-2</v>
      </c>
      <c r="K14" s="24">
        <f>'Model -Guard + Adeq $ and %'!BG17</f>
        <v>4.2566845800328532E-2</v>
      </c>
      <c r="L14" s="24">
        <f>'Model -Guard + Adeq $ and %'!BH17</f>
        <v>3.0144914752335179E-2</v>
      </c>
      <c r="M14" s="24">
        <f>'Model -Guard + Adeq $ and %'!BI17</f>
        <v>1.6683223562288955E-2</v>
      </c>
      <c r="N14" s="24">
        <f>'Model -Guard + Adeq $ and %'!BJ17</f>
        <v>2.9481446439189331E-3</v>
      </c>
      <c r="O14" s="24">
        <f>'Model -Guard + Adeq $ and %'!BK17</f>
        <v>0</v>
      </c>
      <c r="P14" s="24" t="e">
        <f>'Model -Guard + Adeq $ and %'!BL17</f>
        <v>#DIV/0!</v>
      </c>
      <c r="Q14" s="24" t="e">
        <f>'Model -Guard + Adeq $ and %'!BM17</f>
        <v>#DIV/0!</v>
      </c>
      <c r="R14" s="24" t="e">
        <f>'Model -Guard + Adeq $ and %'!BN17</f>
        <v>#DIV/0!</v>
      </c>
      <c r="S14" s="24" t="e">
        <f>'Model -Guard + Adeq $ and %'!BO17</f>
        <v>#DIV/0!</v>
      </c>
      <c r="T14" s="61" t="e">
        <f>'Model -Guard + Adeq $ and %'!BP17</f>
        <v>#DIV/0!</v>
      </c>
      <c r="U14" s="1"/>
    </row>
    <row r="15" spans="2:21" x14ac:dyDescent="0.2">
      <c r="B15" s="14" t="s">
        <v>7</v>
      </c>
      <c r="C15" s="2">
        <f>'Model -Guard + Adeq $ and %'!AY18</f>
        <v>328852284.24685562</v>
      </c>
      <c r="D15" s="2">
        <f>'Model -Guard + Adeq $ and %'!AZ18</f>
        <v>133280715.93843317</v>
      </c>
      <c r="E15" s="24">
        <f>'Model -Guard + Adeq $ and %'!BA18</f>
        <v>0.3928156435014199</v>
      </c>
      <c r="F15" s="24">
        <f>'Model -Guard + Adeq $ and %'!BB18</f>
        <v>0.36593960882703003</v>
      </c>
      <c r="G15" s="24">
        <f>'Model -Guard + Adeq $ and %'!BC18</f>
        <v>0.33627509131502742</v>
      </c>
      <c r="H15" s="24">
        <f>'Model -Guard + Adeq $ and %'!BD18</f>
        <v>0.30347168313695955</v>
      </c>
      <c r="I15" s="24">
        <f>'Model -Guard + Adeq $ and %'!BE18</f>
        <v>0.26712216316143633</v>
      </c>
      <c r="J15" s="24">
        <f>'Model -Guard + Adeq $ and %'!BF18</f>
        <v>0.22675581085230725</v>
      </c>
      <c r="K15" s="24">
        <f>'Model -Guard + Adeq $ and %'!BG18</f>
        <v>0.18184380942501022</v>
      </c>
      <c r="L15" s="24">
        <f>'Model -Guard + Adeq $ and %'!BH18</f>
        <v>0.13185579222534621</v>
      </c>
      <c r="M15" s="24">
        <f>'Model -Guard + Adeq $ and %'!BI18</f>
        <v>7.6540015466829828E-2</v>
      </c>
      <c r="N15" s="24">
        <f>'Model -Guard + Adeq $ and %'!BJ18</f>
        <v>1.7576423280053564E-2</v>
      </c>
      <c r="O15" s="24">
        <f>'Model -Guard + Adeq $ and %'!BK18</f>
        <v>0</v>
      </c>
      <c r="P15" s="24" t="e">
        <f>'Model -Guard + Adeq $ and %'!BL18</f>
        <v>#DIV/0!</v>
      </c>
      <c r="Q15" s="24" t="e">
        <f>'Model -Guard + Adeq $ and %'!BM18</f>
        <v>#DIV/0!</v>
      </c>
      <c r="R15" s="24" t="e">
        <f>'Model -Guard + Adeq $ and %'!BN18</f>
        <v>#DIV/0!</v>
      </c>
      <c r="S15" s="24" t="e">
        <f>'Model -Guard + Adeq $ and %'!BO18</f>
        <v>#DIV/0!</v>
      </c>
      <c r="T15" s="61" t="e">
        <f>'Model -Guard + Adeq $ and %'!BP18</f>
        <v>#DIV/0!</v>
      </c>
      <c r="U15" s="1"/>
    </row>
    <row r="16" spans="2:21" x14ac:dyDescent="0.2">
      <c r="B16" s="14" t="s">
        <v>8</v>
      </c>
      <c r="C16" s="2">
        <f>'Model -Guard + Adeq $ and %'!AY19</f>
        <v>910487338.83586597</v>
      </c>
      <c r="D16" s="2">
        <f>'Model -Guard + Adeq $ and %'!AZ19</f>
        <v>321724913.92231131</v>
      </c>
      <c r="E16" s="24">
        <f>'Model -Guard + Adeq $ and %'!BA19</f>
        <v>0.38368679270848405</v>
      </c>
      <c r="F16" s="24">
        <f>'Model -Guard + Adeq $ and %'!BB19</f>
        <v>0.36571787257083993</v>
      </c>
      <c r="G16" s="24">
        <f>'Model -Guard + Adeq $ and %'!BC19</f>
        <v>0.34555450213343131</v>
      </c>
      <c r="H16" s="24">
        <f>'Model -Guard + Adeq $ and %'!BD19</f>
        <v>0.32280323098523922</v>
      </c>
      <c r="I16" s="24">
        <f>'Model -Guard + Adeq $ and %'!BE19</f>
        <v>0.29694823433914247</v>
      </c>
      <c r="J16" s="24">
        <f>'Model -Guard + Adeq $ and %'!BF19</f>
        <v>0.26728556511235751</v>
      </c>
      <c r="K16" s="24">
        <f>'Model -Guard + Adeq $ and %'!BG19</f>
        <v>0.23280073062528095</v>
      </c>
      <c r="L16" s="24">
        <f>'Model -Guard + Adeq $ and %'!BH19</f>
        <v>0.19191319114161351</v>
      </c>
      <c r="M16" s="24">
        <f>'Model -Guard + Adeq $ and %'!BI19</f>
        <v>0.14184408064372794</v>
      </c>
      <c r="N16" s="24">
        <f>'Model -Guard + Adeq $ and %'!BJ19</f>
        <v>7.6595937846251308E-2</v>
      </c>
      <c r="O16" s="24">
        <f>'Model -Guard + Adeq $ and %'!BK19</f>
        <v>0</v>
      </c>
      <c r="P16" s="24" t="e">
        <f>'Model -Guard + Adeq $ and %'!BL19</f>
        <v>#DIV/0!</v>
      </c>
      <c r="Q16" s="24" t="e">
        <f>'Model -Guard + Adeq $ and %'!BM19</f>
        <v>#DIV/0!</v>
      </c>
      <c r="R16" s="24" t="e">
        <f>'Model -Guard + Adeq $ and %'!BN19</f>
        <v>#DIV/0!</v>
      </c>
      <c r="S16" s="24" t="e">
        <f>'Model -Guard + Adeq $ and %'!BO19</f>
        <v>#DIV/0!</v>
      </c>
      <c r="T16" s="61" t="e">
        <f>'Model -Guard + Adeq $ and %'!BP19</f>
        <v>#DIV/0!</v>
      </c>
      <c r="U16" s="1"/>
    </row>
    <row r="17" spans="2:21" x14ac:dyDescent="0.2">
      <c r="B17" s="14" t="s">
        <v>9</v>
      </c>
      <c r="C17" s="2">
        <f>'Model -Guard + Adeq $ and %'!AY20</f>
        <v>92705416.600463837</v>
      </c>
      <c r="D17" s="2">
        <f>'Model -Guard + Adeq $ and %'!AZ20</f>
        <v>27802727.782648683</v>
      </c>
      <c r="E17" s="24">
        <f>'Model -Guard + Adeq $ and %'!BA20</f>
        <v>0.30423810513849575</v>
      </c>
      <c r="F17" s="24">
        <f>'Model -Guard + Adeq $ and %'!BB20</f>
        <v>0.25772030439669613</v>
      </c>
      <c r="G17" s="24">
        <f>'Model -Guard + Adeq $ and %'!BC20</f>
        <v>0.21067521281526483</v>
      </c>
      <c r="H17" s="24">
        <f>'Model -Guard + Adeq $ and %'!BD20</f>
        <v>0.16398001020457534</v>
      </c>
      <c r="I17" s="24">
        <f>'Model -Guard + Adeq $ and %'!BE20</f>
        <v>0.11887192960390784</v>
      </c>
      <c r="J17" s="24">
        <f>'Model -Guard + Adeq $ and %'!BF20</f>
        <v>7.707860563789308E-2</v>
      </c>
      <c r="K17" s="24">
        <f>'Model -Guard + Adeq $ and %'!BG20</f>
        <v>4.0984848859932546E-2</v>
      </c>
      <c r="L17" s="24">
        <f>'Model -Guard + Adeq $ and %'!BH20</f>
        <v>1.3797071014269786E-2</v>
      </c>
      <c r="M17" s="24">
        <f>'Model -Guard + Adeq $ and %'!BI20</f>
        <v>0</v>
      </c>
      <c r="N17" s="24">
        <f>'Model -Guard + Adeq $ and %'!BJ20</f>
        <v>0</v>
      </c>
      <c r="O17" s="24">
        <f>'Model -Guard + Adeq $ and %'!BK20</f>
        <v>0</v>
      </c>
      <c r="P17" s="24" t="e">
        <f>'Model -Guard + Adeq $ and %'!BL20</f>
        <v>#DIV/0!</v>
      </c>
      <c r="Q17" s="24" t="e">
        <f>'Model -Guard + Adeq $ and %'!BM20</f>
        <v>#DIV/0!</v>
      </c>
      <c r="R17" s="24" t="e">
        <f>'Model -Guard + Adeq $ and %'!BN20</f>
        <v>#DIV/0!</v>
      </c>
      <c r="S17" s="24" t="e">
        <f>'Model -Guard + Adeq $ and %'!BO20</f>
        <v>#DIV/0!</v>
      </c>
      <c r="T17" s="61" t="e">
        <f>'Model -Guard + Adeq $ and %'!BP20</f>
        <v>#DIV/0!</v>
      </c>
      <c r="U17" s="1"/>
    </row>
    <row r="18" spans="2:21" x14ac:dyDescent="0.2">
      <c r="B18" s="14" t="s">
        <v>10</v>
      </c>
      <c r="C18" s="2">
        <f>'Model -Guard + Adeq $ and %'!AY21</f>
        <v>1243404655.6066542</v>
      </c>
      <c r="D18" s="2">
        <f>'Model -Guard + Adeq $ and %'!AZ21</f>
        <v>110876434.4409368</v>
      </c>
      <c r="E18" s="24">
        <f>'Model -Guard + Adeq $ and %'!BA21</f>
        <v>0.10694499207394834</v>
      </c>
      <c r="F18" s="24">
        <f>'Model -Guard + Adeq $ and %'!BB21</f>
        <v>0.10225962482721769</v>
      </c>
      <c r="G18" s="24">
        <f>'Model -Guard + Adeq $ and %'!BC21</f>
        <v>9.6992795228315012E-2</v>
      </c>
      <c r="H18" s="24">
        <f>'Model -Guard + Adeq $ and %'!BD21</f>
        <v>9.1037257179126127E-2</v>
      </c>
      <c r="I18" s="24">
        <f>'Model -Guard + Adeq $ and %'!BE21</f>
        <v>8.4251238679224363E-2</v>
      </c>
      <c r="J18" s="24">
        <f>'Model -Guard + Adeq $ and %'!BF21</f>
        <v>7.6439258074305752E-2</v>
      </c>
      <c r="K18" s="24">
        <f>'Model -Guard + Adeq $ and %'!BG21</f>
        <v>6.7315830817723535E-2</v>
      </c>
      <c r="L18" s="24">
        <f>'Model -Guard + Adeq $ and %'!BH21</f>
        <v>5.6428131722187642E-2</v>
      </c>
      <c r="M18" s="24">
        <f>'Model -Guard + Adeq $ and %'!BI21</f>
        <v>4.2959083724664782E-2</v>
      </c>
      <c r="N18" s="24">
        <f>'Model -Guard + Adeq $ and %'!BJ21</f>
        <v>2.5064016867333835E-2</v>
      </c>
      <c r="O18" s="24">
        <f>'Model -Guard + Adeq $ and %'!BK21</f>
        <v>0</v>
      </c>
      <c r="P18" s="24" t="e">
        <f>'Model -Guard + Adeq $ and %'!BL21</f>
        <v>#DIV/0!</v>
      </c>
      <c r="Q18" s="24" t="e">
        <f>'Model -Guard + Adeq $ and %'!BM21</f>
        <v>#DIV/0!</v>
      </c>
      <c r="R18" s="24" t="e">
        <f>'Model -Guard + Adeq $ and %'!BN21</f>
        <v>#DIV/0!</v>
      </c>
      <c r="S18" s="24" t="e">
        <f>'Model -Guard + Adeq $ and %'!BO21</f>
        <v>#DIV/0!</v>
      </c>
      <c r="T18" s="61" t="e">
        <f>'Model -Guard + Adeq $ and %'!BP21</f>
        <v>#DIV/0!</v>
      </c>
      <c r="U18" s="1"/>
    </row>
    <row r="19" spans="2:21" x14ac:dyDescent="0.2">
      <c r="B19" s="14" t="s">
        <v>11</v>
      </c>
      <c r="C19" s="2">
        <f>'Model -Guard + Adeq $ and %'!AY22</f>
        <v>195405555.48763829</v>
      </c>
      <c r="D19" s="2">
        <f>'Model -Guard + Adeq $ and %'!AZ22</f>
        <v>75892247.402372122</v>
      </c>
      <c r="E19" s="24">
        <f>'Model -Guard + Adeq $ and %'!BA22</f>
        <v>0.39036717382916308</v>
      </c>
      <c r="F19" s="24">
        <f>'Model -Guard + Adeq $ and %'!BB22</f>
        <v>0.3550442387907618</v>
      </c>
      <c r="G19" s="24">
        <f>'Model -Guard + Adeq $ and %'!BC22</f>
        <v>0.31685148948775455</v>
      </c>
      <c r="H19" s="24">
        <f>'Model -Guard + Adeq $ and %'!BD22</f>
        <v>0.27567188108635893</v>
      </c>
      <c r="I19" s="24">
        <f>'Model -Guard + Adeq $ and %'!BE22</f>
        <v>0.23146884706764034</v>
      </c>
      <c r="J19" s="24">
        <f>'Model -Guard + Adeq $ and %'!BF22</f>
        <v>0.184369432089142</v>
      </c>
      <c r="K19" s="24">
        <f>'Model -Guard + Adeq $ and %'!BG22</f>
        <v>0.13483937780675095</v>
      </c>
      <c r="L19" s="24">
        <f>'Model -Guard + Adeq $ and %'!BH22</f>
        <v>8.4090106725465852E-2</v>
      </c>
      <c r="M19" s="24">
        <f>'Model -Guard + Adeq $ and %'!BI22</f>
        <v>3.5177174741065534E-2</v>
      </c>
      <c r="N19" s="24">
        <f>'Model -Guard + Adeq $ and %'!BJ22</f>
        <v>0</v>
      </c>
      <c r="O19" s="24">
        <f>'Model -Guard + Adeq $ and %'!BK22</f>
        <v>0</v>
      </c>
      <c r="P19" s="24" t="e">
        <f>'Model -Guard + Adeq $ and %'!BL22</f>
        <v>#DIV/0!</v>
      </c>
      <c r="Q19" s="24" t="e">
        <f>'Model -Guard + Adeq $ and %'!BM22</f>
        <v>#DIV/0!</v>
      </c>
      <c r="R19" s="24" t="e">
        <f>'Model -Guard + Adeq $ and %'!BN22</f>
        <v>#DIV/0!</v>
      </c>
      <c r="S19" s="24" t="e">
        <f>'Model -Guard + Adeq $ and %'!BO22</f>
        <v>#DIV/0!</v>
      </c>
      <c r="T19" s="61" t="e">
        <f>'Model -Guard + Adeq $ and %'!BP22</f>
        <v>#DIV/0!</v>
      </c>
      <c r="U19" s="1"/>
    </row>
    <row r="20" spans="2:21" x14ac:dyDescent="0.2">
      <c r="B20" s="15" t="s">
        <v>14</v>
      </c>
      <c r="C20" s="53">
        <f>'Model -Guard + Adeq $ and %'!AY23</f>
        <v>4467075684.9250851</v>
      </c>
      <c r="D20" s="53">
        <f>'Model -Guard + Adeq $ and %'!AZ23</f>
        <v>1365370425.5038662</v>
      </c>
      <c r="E20" s="25">
        <f>'Model -Guard + Adeq $ and %'!BA23</f>
        <v>0.3156236244697051</v>
      </c>
      <c r="F20" s="25">
        <f>'Model -Guard + Adeq $ and %'!BB23</f>
        <v>0.29355579997706371</v>
      </c>
      <c r="G20" s="25">
        <f>'Model -Guard + Adeq $ and %'!BC23</f>
        <v>0.26955971897535658</v>
      </c>
      <c r="H20" s="25">
        <f>'Model -Guard + Adeq $ and %'!BD23</f>
        <v>0.2434668930317529</v>
      </c>
      <c r="I20" s="25">
        <f>'Model -Guard + Adeq $ and %'!BE23</f>
        <v>0.215094111423174</v>
      </c>
      <c r="J20" s="25">
        <f>'Model -Guard + Adeq $ and %'!BF23</f>
        <v>0.18424215472258335</v>
      </c>
      <c r="K20" s="25">
        <f>'Model -Guard + Adeq $ and %'!BG23</f>
        <v>0.15069439598019355</v>
      </c>
      <c r="L20" s="25">
        <f>'Model -Guard + Adeq $ and %'!BH23</f>
        <v>0.11421527967778915</v>
      </c>
      <c r="M20" s="25">
        <f>'Model -Guard + Adeq $ and %'!BI23</f>
        <v>7.4548667776145466E-2</v>
      </c>
      <c r="N20" s="25">
        <f>'Model -Guard + Adeq $ and %'!BJ23</f>
        <v>3.140528259737442E-2</v>
      </c>
      <c r="O20" s="25">
        <f>'Model -Guard + Adeq $ and %'!BK23</f>
        <v>0</v>
      </c>
      <c r="P20" s="25" t="e">
        <f>'Model -Guard + Adeq $ and %'!BL23</f>
        <v>#DIV/0!</v>
      </c>
      <c r="Q20" s="25" t="e">
        <f>'Model -Guard + Adeq $ and %'!BM23</f>
        <v>#DIV/0!</v>
      </c>
      <c r="R20" s="25" t="e">
        <f>'Model -Guard + Adeq $ and %'!BN23</f>
        <v>#DIV/0!</v>
      </c>
      <c r="S20" s="25" t="e">
        <f>'Model -Guard + Adeq $ and %'!BO23</f>
        <v>#DIV/0!</v>
      </c>
      <c r="T20" s="152" t="e">
        <f>'Model -Guard + Adeq $ and %'!BP23</f>
        <v>#DIV/0!</v>
      </c>
      <c r="U20" s="21"/>
    </row>
    <row r="21" spans="2:21" x14ac:dyDescent="0.2">
      <c r="J21" s="19"/>
      <c r="O21" s="19"/>
    </row>
    <row r="22" spans="2:21" ht="19" x14ac:dyDescent="0.25">
      <c r="B22" s="12" t="s">
        <v>211</v>
      </c>
      <c r="J22" s="19"/>
      <c r="O22" s="19"/>
    </row>
    <row r="23" spans="2:21" ht="32" x14ac:dyDescent="0.2">
      <c r="B23" s="22" t="s">
        <v>12</v>
      </c>
      <c r="C23" s="13" t="s">
        <v>15</v>
      </c>
      <c r="D23" s="13" t="s">
        <v>13</v>
      </c>
      <c r="E23" s="13" t="s">
        <v>37</v>
      </c>
      <c r="F23" s="13" t="s">
        <v>35</v>
      </c>
      <c r="G23" s="13" t="s">
        <v>36</v>
      </c>
      <c r="H23" s="13" t="s">
        <v>38</v>
      </c>
      <c r="I23" s="13" t="s">
        <v>39</v>
      </c>
      <c r="J23" s="13" t="s">
        <v>40</v>
      </c>
      <c r="K23" s="13" t="s">
        <v>41</v>
      </c>
      <c r="L23" s="13" t="s">
        <v>42</v>
      </c>
      <c r="M23" s="13" t="s">
        <v>43</v>
      </c>
      <c r="N23" s="13" t="s">
        <v>44</v>
      </c>
      <c r="O23" s="13" t="s">
        <v>45</v>
      </c>
      <c r="P23" s="13" t="s">
        <v>46</v>
      </c>
      <c r="Q23" s="13" t="s">
        <v>47</v>
      </c>
      <c r="R23" s="13" t="s">
        <v>75</v>
      </c>
      <c r="S23" s="13" t="s">
        <v>76</v>
      </c>
      <c r="T23" s="23" t="s">
        <v>77</v>
      </c>
      <c r="U23" s="8"/>
    </row>
    <row r="24" spans="2:21" x14ac:dyDescent="0.2">
      <c r="B24" s="14" t="s">
        <v>0</v>
      </c>
      <c r="C24" s="2">
        <f>'Model -Guard + Adeq $ and %'!BD31</f>
        <v>74061017.606188729</v>
      </c>
      <c r="D24" s="2">
        <f>'Model -Guard + Adeq $ and %'!BE31</f>
        <v>20012870.843441181</v>
      </c>
      <c r="E24" s="59">
        <f>'Model -Guard + Adeq $ and %'!BF31</f>
        <v>0.15151550802328559</v>
      </c>
      <c r="F24" s="59">
        <f>'Model -Guard + Adeq $ and %'!BG31</f>
        <v>0.1371462281791262</v>
      </c>
      <c r="G24" s="59">
        <f>'Model -Guard + Adeq $ and %'!BH31</f>
        <v>0.12329197452119223</v>
      </c>
      <c r="H24" s="59">
        <f>'Model -Guard + Adeq $ and %'!BI31</f>
        <v>0.10928224525000545</v>
      </c>
      <c r="I24" s="59">
        <f>'Model -Guard + Adeq $ and %'!BJ31</f>
        <v>9.4474716585536272E-2</v>
      </c>
      <c r="J24" s="59">
        <f>'Model -Guard + Adeq $ and %'!BK31</f>
        <v>7.8248493989554843E-2</v>
      </c>
      <c r="K24" s="59">
        <f>'Model -Guard + Adeq $ and %'!BL31</f>
        <v>6.0171180918596717E-2</v>
      </c>
      <c r="L24" s="59">
        <f>'Model -Guard + Adeq $ and %'!BM31</f>
        <v>4.0841391346812014E-2</v>
      </c>
      <c r="M24" s="59">
        <f>'Model -Guard + Adeq $ and %'!BN31</f>
        <v>0.03</v>
      </c>
      <c r="N24" s="59">
        <f>'Model -Guard + Adeq $ and %'!BO31</f>
        <v>0.03</v>
      </c>
      <c r="O24" s="59" t="e">
        <f>'Model -Guard + Adeq $ and %'!BP31</f>
        <v>#DIV/0!</v>
      </c>
      <c r="P24" s="59" t="e">
        <f>'Model -Guard + Adeq $ and %'!BQ31</f>
        <v>#DIV/0!</v>
      </c>
      <c r="Q24" s="59" t="e">
        <f>'Model -Guard + Adeq $ and %'!BR31</f>
        <v>#DIV/0!</v>
      </c>
      <c r="R24" s="59" t="e">
        <f>'Model -Guard + Adeq $ and %'!BS31</f>
        <v>#DIV/0!</v>
      </c>
      <c r="S24" s="59" t="e">
        <f>'Model -Guard + Adeq $ and %'!BT31</f>
        <v>#DIV/0!</v>
      </c>
      <c r="T24" s="60" t="e">
        <f>'Model -Guard + Adeq $ and %'!BU31</f>
        <v>#DIV/0!</v>
      </c>
      <c r="U24" s="1"/>
    </row>
    <row r="25" spans="2:21" x14ac:dyDescent="0.2">
      <c r="B25" s="14" t="s">
        <v>1</v>
      </c>
      <c r="C25" s="2">
        <f>'Model -Guard + Adeq $ and %'!BD32</f>
        <v>164966421.92469403</v>
      </c>
      <c r="D25" s="2">
        <f>'Model -Guard + Adeq $ and %'!BE32</f>
        <v>66753996.300633356</v>
      </c>
      <c r="E25" s="59">
        <f>'Model -Guard + Adeq $ and %'!BF32</f>
        <v>0.19490912002870353</v>
      </c>
      <c r="F25" s="59">
        <f>'Model -Guard + Adeq $ and %'!BG32</f>
        <v>0.18214672025249753</v>
      </c>
      <c r="G25" s="59">
        <f>'Model -Guard + Adeq $ and %'!BH32</f>
        <v>0.1711574764684666</v>
      </c>
      <c r="H25" s="59">
        <f>'Model -Guard + Adeq $ and %'!BI32</f>
        <v>0.16117270517791674</v>
      </c>
      <c r="I25" s="59">
        <f>'Model -Guard + Adeq $ and %'!BJ32</f>
        <v>0.15144569494863008</v>
      </c>
      <c r="J25" s="59">
        <f>'Model -Guard + Adeq $ and %'!BK32</f>
        <v>0.1410401708696411</v>
      </c>
      <c r="K25" s="59">
        <f>'Model -Guard + Adeq $ and %'!BL32</f>
        <v>0.1284280749444158</v>
      </c>
      <c r="L25" s="59">
        <f>'Model -Guard + Adeq $ and %'!BM32</f>
        <v>0.11042361873913967</v>
      </c>
      <c r="M25" s="59">
        <f>'Model -Guard + Adeq $ and %'!BN32</f>
        <v>7.822089524578843E-2</v>
      </c>
      <c r="N25" s="59">
        <f>'Model -Guard + Adeq $ and %'!BO32</f>
        <v>0.03</v>
      </c>
      <c r="O25" s="59" t="e">
        <f>'Model -Guard + Adeq $ and %'!BP32</f>
        <v>#DIV/0!</v>
      </c>
      <c r="P25" s="59" t="e">
        <f>'Model -Guard + Adeq $ and %'!BQ32</f>
        <v>#DIV/0!</v>
      </c>
      <c r="Q25" s="59" t="e">
        <f>'Model -Guard + Adeq $ and %'!BR32</f>
        <v>#DIV/0!</v>
      </c>
      <c r="R25" s="59" t="e">
        <f>'Model -Guard + Adeq $ and %'!BS32</f>
        <v>#DIV/0!</v>
      </c>
      <c r="S25" s="59" t="e">
        <f>'Model -Guard + Adeq $ and %'!BT32</f>
        <v>#DIV/0!</v>
      </c>
      <c r="T25" s="61" t="e">
        <f>'Model -Guard + Adeq $ and %'!BU32</f>
        <v>#DIV/0!</v>
      </c>
      <c r="U25" s="1"/>
    </row>
    <row r="26" spans="2:21" x14ac:dyDescent="0.2">
      <c r="B26" s="14" t="s">
        <v>2</v>
      </c>
      <c r="C26" s="2">
        <f>'Model -Guard + Adeq $ and %'!BD33</f>
        <v>111850437.83915582</v>
      </c>
      <c r="D26" s="2">
        <f>'Model -Guard + Adeq $ and %'!BE33</f>
        <v>59635517.784009442</v>
      </c>
      <c r="E26" s="59">
        <f>'Model -Guard + Adeq $ and %'!BF33</f>
        <v>0.39717437667524064</v>
      </c>
      <c r="F26" s="59">
        <f>'Model -Guard + Adeq $ and %'!BG33</f>
        <v>0.31080996926001025</v>
      </c>
      <c r="G26" s="59">
        <f>'Model -Guard + Adeq $ and %'!BH33</f>
        <v>0.25605934542306552</v>
      </c>
      <c r="H26" s="59">
        <f>'Model -Guard + Adeq $ and %'!BI33</f>
        <v>0.21649516355943252</v>
      </c>
      <c r="I26" s="59">
        <f>'Model -Guard + Adeq $ and %'!BJ33</f>
        <v>0.18447718969705204</v>
      </c>
      <c r="J26" s="59">
        <f>'Model -Guard + Adeq $ and %'!BK33</f>
        <v>0.15540943385809328</v>
      </c>
      <c r="K26" s="59">
        <f>'Model -Guard + Adeq $ and %'!BL33</f>
        <v>0.12549055062281766</v>
      </c>
      <c r="L26" s="59">
        <f>'Model -Guard + Adeq $ and %'!BM33</f>
        <v>9.0275859301753483E-2</v>
      </c>
      <c r="M26" s="59">
        <f>'Model -Guard + Adeq $ and %'!BN33</f>
        <v>4.3744586412886768E-2</v>
      </c>
      <c r="N26" s="59">
        <f>'Model -Guard + Adeq $ and %'!BO33</f>
        <v>0.03</v>
      </c>
      <c r="O26" s="59" t="e">
        <f>'Model -Guard + Adeq $ and %'!BP33</f>
        <v>#DIV/0!</v>
      </c>
      <c r="P26" s="59" t="e">
        <f>'Model -Guard + Adeq $ and %'!BQ33</f>
        <v>#DIV/0!</v>
      </c>
      <c r="Q26" s="59" t="e">
        <f>'Model -Guard + Adeq $ and %'!BR33</f>
        <v>#DIV/0!</v>
      </c>
      <c r="R26" s="59" t="e">
        <f>'Model -Guard + Adeq $ and %'!BS33</f>
        <v>#DIV/0!</v>
      </c>
      <c r="S26" s="59" t="e">
        <f>'Model -Guard + Adeq $ and %'!BT33</f>
        <v>#DIV/0!</v>
      </c>
      <c r="T26" s="61" t="e">
        <f>'Model -Guard + Adeq $ and %'!BU33</f>
        <v>#DIV/0!</v>
      </c>
      <c r="U26" s="1"/>
    </row>
    <row r="27" spans="2:21" x14ac:dyDescent="0.2">
      <c r="B27" s="14" t="s">
        <v>3</v>
      </c>
      <c r="C27" s="2">
        <f>'Model -Guard + Adeq $ and %'!BD34</f>
        <v>477796928.12292886</v>
      </c>
      <c r="D27" s="2">
        <f>'Model -Guard + Adeq $ and %'!BE34</f>
        <v>234399775.04964375</v>
      </c>
      <c r="E27" s="59">
        <f>'Model -Guard + Adeq $ and %'!BF34</f>
        <v>0.21067088715278051</v>
      </c>
      <c r="F27" s="59">
        <f>'Model -Guard + Adeq $ and %'!BG34</f>
        <v>0.20112094931184984</v>
      </c>
      <c r="G27" s="59">
        <f>'Model -Guard + Adeq $ and %'!BH34</f>
        <v>0.19398407800506867</v>
      </c>
      <c r="H27" s="59">
        <f>'Model -Guard + Adeq $ and %'!BI34</f>
        <v>0.18883311379243822</v>
      </c>
      <c r="I27" s="59">
        <f>'Model -Guard + Adeq $ and %'!BJ34</f>
        <v>0.18544489255774901</v>
      </c>
      <c r="J27" s="59">
        <f>'Model -Guard + Adeq $ and %'!BK34</f>
        <v>0.18377219821999785</v>
      </c>
      <c r="K27" s="59">
        <f>'Model -Guard + Adeq $ and %'!BL34</f>
        <v>0.18395960837098638</v>
      </c>
      <c r="L27" s="59">
        <f>'Model -Guard + Adeq $ and %'!BM34</f>
        <v>0.18639732066521927</v>
      </c>
      <c r="M27" s="59">
        <f>'Model -Guard + Adeq $ and %'!BN34</f>
        <v>0.19134937610704886</v>
      </c>
      <c r="N27" s="59">
        <f>'Model -Guard + Adeq $ and %'!BO34</f>
        <v>0.18613428739689092</v>
      </c>
      <c r="O27" s="59" t="e">
        <f>'Model -Guard + Adeq $ and %'!BP34</f>
        <v>#DIV/0!</v>
      </c>
      <c r="P27" s="59" t="e">
        <f>'Model -Guard + Adeq $ and %'!BQ34</f>
        <v>#DIV/0!</v>
      </c>
      <c r="Q27" s="59" t="e">
        <f>'Model -Guard + Adeq $ and %'!BR34</f>
        <v>#DIV/0!</v>
      </c>
      <c r="R27" s="59" t="e">
        <f>'Model -Guard + Adeq $ and %'!BS34</f>
        <v>#DIV/0!</v>
      </c>
      <c r="S27" s="59" t="e">
        <f>'Model -Guard + Adeq $ and %'!BT34</f>
        <v>#DIV/0!</v>
      </c>
      <c r="T27" s="61" t="e">
        <f>'Model -Guard + Adeq $ and %'!BU34</f>
        <v>#DIV/0!</v>
      </c>
      <c r="U27" s="1"/>
    </row>
    <row r="28" spans="2:21" x14ac:dyDescent="0.2">
      <c r="B28" s="14" t="s">
        <v>4</v>
      </c>
      <c r="C28" s="2">
        <f>'Model -Guard + Adeq $ and %'!BD35</f>
        <v>164227660.88237971</v>
      </c>
      <c r="D28" s="2">
        <f>'Model -Guard + Adeq $ and %'!BE35</f>
        <v>96491379.044015497</v>
      </c>
      <c r="E28" s="59">
        <f>'Model -Guard + Adeq $ and %'!BF35</f>
        <v>0.32569105018621541</v>
      </c>
      <c r="F28" s="59">
        <f>'Model -Guard + Adeq $ and %'!BG35</f>
        <v>0.27627190630755177</v>
      </c>
      <c r="G28" s="59">
        <f>'Model -Guard + Adeq $ and %'!BH35</f>
        <v>0.2420337455998951</v>
      </c>
      <c r="H28" s="59">
        <f>'Model -Guard + Adeq $ and %'!BI35</f>
        <v>0.21623620670818289</v>
      </c>
      <c r="I28" s="59">
        <f>'Model -Guard + Adeq $ and %'!BJ35</f>
        <v>0.19513599870248619</v>
      </c>
      <c r="J28" s="59">
        <f>'Model -Guard + Adeq $ and %'!BK35</f>
        <v>0.17609823470367142</v>
      </c>
      <c r="K28" s="59">
        <f>'Model -Guard + Adeq $ and %'!BL35</f>
        <v>0.15646359708715876</v>
      </c>
      <c r="L28" s="59">
        <f>'Model -Guard + Adeq $ and %'!BM35</f>
        <v>0.13198723502346396</v>
      </c>
      <c r="M28" s="59">
        <f>'Model -Guard + Adeq $ and %'!BN35</f>
        <v>9.187626150179537E-2</v>
      </c>
      <c r="N28" s="59">
        <f>'Model -Guard + Adeq $ and %'!BO35</f>
        <v>0.03</v>
      </c>
      <c r="O28" s="59" t="e">
        <f>'Model -Guard + Adeq $ and %'!BP35</f>
        <v>#DIV/0!</v>
      </c>
      <c r="P28" s="59" t="e">
        <f>'Model -Guard + Adeq $ and %'!BQ35</f>
        <v>#DIV/0!</v>
      </c>
      <c r="Q28" s="59" t="e">
        <f>'Model -Guard + Adeq $ and %'!BR35</f>
        <v>#DIV/0!</v>
      </c>
      <c r="R28" s="59" t="e">
        <f>'Model -Guard + Adeq $ and %'!BS35</f>
        <v>#DIV/0!</v>
      </c>
      <c r="S28" s="59" t="e">
        <f>'Model -Guard + Adeq $ and %'!BT35</f>
        <v>#DIV/0!</v>
      </c>
      <c r="T28" s="61" t="e">
        <f>'Model -Guard + Adeq $ and %'!BU35</f>
        <v>#DIV/0!</v>
      </c>
      <c r="U28" s="1"/>
    </row>
    <row r="29" spans="2:21" x14ac:dyDescent="0.2">
      <c r="B29" s="14" t="s">
        <v>5</v>
      </c>
      <c r="C29" s="2">
        <f>'Model -Guard + Adeq $ and %'!BD36</f>
        <v>407962628.09385109</v>
      </c>
      <c r="D29" s="2">
        <f>'Model -Guard + Adeq $ and %'!BE36</f>
        <v>187745917.65696079</v>
      </c>
      <c r="E29" s="59">
        <f>'Model -Guard + Adeq $ and %'!BF36</f>
        <v>0.16202286577943509</v>
      </c>
      <c r="F29" s="59">
        <f>'Model -Guard + Adeq $ and %'!BG36</f>
        <v>0.15986366053946408</v>
      </c>
      <c r="G29" s="59">
        <f>'Model -Guard + Adeq $ and %'!BH36</f>
        <v>0.15837151067490818</v>
      </c>
      <c r="H29" s="59">
        <f>'Model -Guard + Adeq $ and %'!BI36</f>
        <v>0.15753632046037386</v>
      </c>
      <c r="I29" s="59">
        <f>'Model -Guard + Adeq $ and %'!BJ36</f>
        <v>0.15738276527559056</v>
      </c>
      <c r="J29" s="59">
        <f>'Model -Guard + Adeq $ and %'!BK36</f>
        <v>0.1579708253960565</v>
      </c>
      <c r="K29" s="59">
        <f>'Model -Guard + Adeq $ and %'!BL36</f>
        <v>0.15938058740649977</v>
      </c>
      <c r="L29" s="59">
        <f>'Model -Guard + Adeq $ and %'!BM36</f>
        <v>0.16159088028757565</v>
      </c>
      <c r="M29" s="59">
        <f>'Model -Guard + Adeq $ and %'!BN36</f>
        <v>0.16330891774694828</v>
      </c>
      <c r="N29" s="59">
        <f>'Model -Guard + Adeq $ and %'!BO36</f>
        <v>0.14313032066476908</v>
      </c>
      <c r="O29" s="59" t="e">
        <f>'Model -Guard + Adeq $ and %'!BP36</f>
        <v>#DIV/0!</v>
      </c>
      <c r="P29" s="59" t="e">
        <f>'Model -Guard + Adeq $ and %'!BQ36</f>
        <v>#DIV/0!</v>
      </c>
      <c r="Q29" s="59" t="e">
        <f>'Model -Guard + Adeq $ and %'!BR36</f>
        <v>#DIV/0!</v>
      </c>
      <c r="R29" s="59" t="e">
        <f>'Model -Guard + Adeq $ and %'!BS36</f>
        <v>#DIV/0!</v>
      </c>
      <c r="S29" s="59" t="e">
        <f>'Model -Guard + Adeq $ and %'!BT36</f>
        <v>#DIV/0!</v>
      </c>
      <c r="T29" s="61" t="e">
        <f>'Model -Guard + Adeq $ and %'!BU36</f>
        <v>#DIV/0!</v>
      </c>
      <c r="U29" s="1"/>
    </row>
    <row r="30" spans="2:21" x14ac:dyDescent="0.2">
      <c r="B30" s="14" t="s">
        <v>6</v>
      </c>
      <c r="C30" s="2">
        <f>'Model -Guard + Adeq $ and %'!BD37</f>
        <v>295355339.6784091</v>
      </c>
      <c r="D30" s="2">
        <f>'Model -Guard + Adeq $ and %'!BE37</f>
        <v>30753929.338460058</v>
      </c>
      <c r="E30" s="59">
        <f>'Model -Guard + Adeq $ and %'!BF37</f>
        <v>4.5710888342265187E-2</v>
      </c>
      <c r="F30" s="59">
        <f>'Model -Guard + Adeq $ and %'!BG37</f>
        <v>4.7024946970223809E-2</v>
      </c>
      <c r="G30" s="59">
        <f>'Model -Guard + Adeq $ and %'!BH37</f>
        <v>4.8446625258139336E-2</v>
      </c>
      <c r="H30" s="59">
        <f>'Model -Guard + Adeq $ and %'!BI37</f>
        <v>4.9980931191231613E-2</v>
      </c>
      <c r="I30" s="59">
        <f>'Model -Guard + Adeq $ and %'!BJ37</f>
        <v>5.1626068818088365E-2</v>
      </c>
      <c r="J30" s="59">
        <f>'Model -Guard + Adeq $ and %'!BK37</f>
        <v>5.3360270588688613E-2</v>
      </c>
      <c r="K30" s="59">
        <f>'Model -Guard + Adeq $ and %'!BL37</f>
        <v>5.5100977410796434E-2</v>
      </c>
      <c r="L30" s="59">
        <f>'Model -Guard + Adeq $ and %'!BM37</f>
        <v>5.6554879905343802E-2</v>
      </c>
      <c r="M30" s="59">
        <f>'Model -Guard + Adeq $ and %'!BN37</f>
        <v>5.6413201322243707E-2</v>
      </c>
      <c r="N30" s="59">
        <f>'Model -Guard + Adeq $ and %'!BO37</f>
        <v>4.3814371332567638E-2</v>
      </c>
      <c r="O30" s="59" t="e">
        <f>'Model -Guard + Adeq $ and %'!BP37</f>
        <v>#DIV/0!</v>
      </c>
      <c r="P30" s="59" t="e">
        <f>'Model -Guard + Adeq $ and %'!BQ37</f>
        <v>#DIV/0!</v>
      </c>
      <c r="Q30" s="59" t="e">
        <f>'Model -Guard + Adeq $ and %'!BR37</f>
        <v>#DIV/0!</v>
      </c>
      <c r="R30" s="59" t="e">
        <f>'Model -Guard + Adeq $ and %'!BS37</f>
        <v>#DIV/0!</v>
      </c>
      <c r="S30" s="59" t="e">
        <f>'Model -Guard + Adeq $ and %'!BT37</f>
        <v>#DIV/0!</v>
      </c>
      <c r="T30" s="61" t="e">
        <f>'Model -Guard + Adeq $ and %'!BU37</f>
        <v>#DIV/0!</v>
      </c>
      <c r="U30" s="1"/>
    </row>
    <row r="31" spans="2:21" x14ac:dyDescent="0.2">
      <c r="B31" s="14" t="s">
        <v>7</v>
      </c>
      <c r="C31" s="2">
        <f>'Model -Guard + Adeq $ and %'!BD38</f>
        <v>328852284.24685562</v>
      </c>
      <c r="D31" s="2">
        <f>'Model -Guard + Adeq $ and %'!BE38</f>
        <v>133280715.93843317</v>
      </c>
      <c r="E31" s="59">
        <f>'Model -Guard + Adeq $ and %'!BF38</f>
        <v>0.17390778499348672</v>
      </c>
      <c r="F31" s="59">
        <f>'Model -Guard + Adeq $ and %'!BG38</f>
        <v>0.16936689581234268</v>
      </c>
      <c r="G31" s="59">
        <f>'Model -Guard + Adeq $ and %'!BH38</f>
        <v>0.16574621703757234</v>
      </c>
      <c r="H31" s="59">
        <f>'Model -Guard + Adeq $ and %'!BI38</f>
        <v>0.16290479732692995</v>
      </c>
      <c r="I31" s="59">
        <f>'Model -Guard + Adeq $ and %'!BJ38</f>
        <v>0.16072376464444052</v>
      </c>
      <c r="J31" s="59">
        <f>'Model -Guard + Adeq $ and %'!BK38</f>
        <v>0.15906420113033864</v>
      </c>
      <c r="K31" s="59">
        <f>'Model -Guard + Adeq $ and %'!BL38</f>
        <v>0.15765535314241924</v>
      </c>
      <c r="L31" s="59">
        <f>'Model -Guard + Adeq $ and %'!BM38</f>
        <v>0.1556840238343381</v>
      </c>
      <c r="M31" s="59">
        <f>'Model -Guard + Adeq $ and %'!BN38</f>
        <v>0.14940241478508037</v>
      </c>
      <c r="N31" s="59">
        <f>'Model -Guard + Adeq $ and %'!BO38</f>
        <v>0.10417065465058721</v>
      </c>
      <c r="O31" s="59" t="e">
        <f>'Model -Guard + Adeq $ and %'!BP38</f>
        <v>#DIV/0!</v>
      </c>
      <c r="P31" s="59" t="e">
        <f>'Model -Guard + Adeq $ and %'!BQ38</f>
        <v>#DIV/0!</v>
      </c>
      <c r="Q31" s="59" t="e">
        <f>'Model -Guard + Adeq $ and %'!BR38</f>
        <v>#DIV/0!</v>
      </c>
      <c r="R31" s="59" t="e">
        <f>'Model -Guard + Adeq $ and %'!BS38</f>
        <v>#DIV/0!</v>
      </c>
      <c r="S31" s="59" t="e">
        <f>'Model -Guard + Adeq $ and %'!BT38</f>
        <v>#DIV/0!</v>
      </c>
      <c r="T31" s="61" t="e">
        <f>'Model -Guard + Adeq $ and %'!BU38</f>
        <v>#DIV/0!</v>
      </c>
      <c r="U31" s="1"/>
    </row>
    <row r="32" spans="2:21" x14ac:dyDescent="0.2">
      <c r="B32" s="14" t="s">
        <v>8</v>
      </c>
      <c r="C32" s="2">
        <f>'Model -Guard + Adeq $ and %'!BD39</f>
        <v>910487338.83586597</v>
      </c>
      <c r="D32" s="2">
        <f>'Model -Guard + Adeq $ and %'!BE39</f>
        <v>321724913.92231131</v>
      </c>
      <c r="E32" s="59">
        <f>'Model -Guard + Adeq $ and %'!BF39</f>
        <v>9.8143647296644182E-2</v>
      </c>
      <c r="F32" s="59">
        <f>'Model -Guard + Adeq $ and %'!BG39</f>
        <v>0.10172071269328049</v>
      </c>
      <c r="G32" s="59">
        <f>'Model -Guard + Adeq $ and %'!BH39</f>
        <v>0.10565764942338243</v>
      </c>
      <c r="H32" s="59">
        <f>'Model -Guard + Adeq $ and %'!BI39</f>
        <v>0.11009551781967719</v>
      </c>
      <c r="I32" s="59">
        <f>'Model -Guard + Adeq $ and %'!BJ39</f>
        <v>0.11526108051416165</v>
      </c>
      <c r="J32" s="59">
        <f>'Model -Guard + Adeq $ and %'!BK39</f>
        <v>0.12154390348590312</v>
      </c>
      <c r="K32" s="59">
        <f>'Model -Guard + Adeq $ and %'!BL39</f>
        <v>0.12968118757692421</v>
      </c>
      <c r="L32" s="59">
        <f>'Model -Guard + Adeq $ and %'!BM39</f>
        <v>0.14129443038416589</v>
      </c>
      <c r="M32" s="59">
        <f>'Model -Guard + Adeq $ and %'!BN39</f>
        <v>0.16089143723290888</v>
      </c>
      <c r="N32" s="59">
        <f>'Model -Guard + Adeq $ and %'!BO39</f>
        <v>0.20817578327909952</v>
      </c>
      <c r="O32" s="59" t="e">
        <f>'Model -Guard + Adeq $ and %'!BP39</f>
        <v>#DIV/0!</v>
      </c>
      <c r="P32" s="59" t="e">
        <f>'Model -Guard + Adeq $ and %'!BQ39</f>
        <v>#DIV/0!</v>
      </c>
      <c r="Q32" s="59" t="e">
        <f>'Model -Guard + Adeq $ and %'!BR39</f>
        <v>#DIV/0!</v>
      </c>
      <c r="R32" s="59" t="e">
        <f>'Model -Guard + Adeq $ and %'!BS39</f>
        <v>#DIV/0!</v>
      </c>
      <c r="S32" s="59" t="e">
        <f>'Model -Guard + Adeq $ and %'!BT39</f>
        <v>#DIV/0!</v>
      </c>
      <c r="T32" s="61" t="e">
        <f>'Model -Guard + Adeq $ and %'!BU39</f>
        <v>#DIV/0!</v>
      </c>
      <c r="U32" s="1"/>
    </row>
    <row r="33" spans="2:21" x14ac:dyDescent="0.2">
      <c r="B33" s="14" t="s">
        <v>9</v>
      </c>
      <c r="C33" s="2">
        <f>'Model -Guard + Adeq $ and %'!BD40</f>
        <v>92705416.600463837</v>
      </c>
      <c r="D33" s="2">
        <f>'Model -Guard + Adeq $ and %'!BE40</f>
        <v>27802727.782648683</v>
      </c>
      <c r="E33" s="59">
        <f>'Model -Guard + Adeq $ and %'!BF40</f>
        <v>0.21008225018187024</v>
      </c>
      <c r="F33" s="59">
        <f>'Model -Guard + Adeq $ and %'!BG40</f>
        <v>0.18502023359252015</v>
      </c>
      <c r="G33" s="59">
        <f>'Model -Guard + Adeq $ and %'!BH40</f>
        <v>0.16373891384309097</v>
      </c>
      <c r="H33" s="59">
        <f>'Model -Guard + Adeq $ and %'!BI40</f>
        <v>0.14434614912980653</v>
      </c>
      <c r="I33" s="59">
        <f>'Model -Guard + Adeq $ and %'!BJ40</f>
        <v>0.12535729461715114</v>
      </c>
      <c r="J33" s="59">
        <f>'Model -Guard + Adeq $ and %'!BK40</f>
        <v>0.10537475083735924</v>
      </c>
      <c r="K33" s="59">
        <f>'Model -Guard + Adeq $ and %'!BL40</f>
        <v>8.2904814898783041E-2</v>
      </c>
      <c r="L33" s="59">
        <f>'Model -Guard + Adeq $ and %'!BM40</f>
        <v>5.6565079899820875E-2</v>
      </c>
      <c r="M33" s="59">
        <f>'Model -Guard + Adeq $ and %'!BN40</f>
        <v>0.03</v>
      </c>
      <c r="N33" s="59">
        <f>'Model -Guard + Adeq $ and %'!BO40</f>
        <v>0.03</v>
      </c>
      <c r="O33" s="59" t="e">
        <f>'Model -Guard + Adeq $ and %'!BP40</f>
        <v>#DIV/0!</v>
      </c>
      <c r="P33" s="59" t="e">
        <f>'Model -Guard + Adeq $ and %'!BQ40</f>
        <v>#DIV/0!</v>
      </c>
      <c r="Q33" s="59" t="e">
        <f>'Model -Guard + Adeq $ and %'!BR40</f>
        <v>#DIV/0!</v>
      </c>
      <c r="R33" s="59" t="e">
        <f>'Model -Guard + Adeq $ and %'!BS40</f>
        <v>#DIV/0!</v>
      </c>
      <c r="S33" s="59" t="e">
        <f>'Model -Guard + Adeq $ and %'!BT40</f>
        <v>#DIV/0!</v>
      </c>
      <c r="T33" s="61" t="e">
        <f>'Model -Guard + Adeq $ and %'!BU40</f>
        <v>#DIV/0!</v>
      </c>
      <c r="U33" s="1"/>
    </row>
    <row r="34" spans="2:21" x14ac:dyDescent="0.2">
      <c r="B34" s="14" t="s">
        <v>10</v>
      </c>
      <c r="C34" s="2">
        <f>'Model -Guard + Adeq $ and %'!BD41</f>
        <v>1243404655.6066542</v>
      </c>
      <c r="D34" s="2">
        <f>'Model -Guard + Adeq $ and %'!BE41</f>
        <v>110876434.4409368</v>
      </c>
      <c r="E34" s="59">
        <f>'Model -Guard + Adeq $ and %'!BF41</f>
        <v>4.955837959360182E-2</v>
      </c>
      <c r="F34" s="59">
        <f>'Model -Guard + Adeq $ and %'!BG41</f>
        <v>5.1575910176617924E-2</v>
      </c>
      <c r="G34" s="59">
        <f>'Model -Guard + Adeq $ and %'!BH41</f>
        <v>5.3896673925906947E-2</v>
      </c>
      <c r="H34" s="59">
        <f>'Model -Guard + Adeq $ and %'!BI41</f>
        <v>5.6611581440706771E-2</v>
      </c>
      <c r="I34" s="59">
        <f>'Model -Guard + Adeq $ and %'!BJ41</f>
        <v>5.986335927990534E-2</v>
      </c>
      <c r="J34" s="59">
        <f>'Model -Guard + Adeq $ and %'!BK41</f>
        <v>6.3894002944325387E-2</v>
      </c>
      <c r="K34" s="59">
        <f>'Model -Guard + Adeq $ and %'!BL41</f>
        <v>6.9159742085736831E-2</v>
      </c>
      <c r="L34" s="59">
        <f>'Model -Guard + Adeq $ and %'!BM41</f>
        <v>7.6669724885287283E-2</v>
      </c>
      <c r="M34" s="59">
        <f>'Model -Guard + Adeq $ and %'!BN41</f>
        <v>8.9317984883077378E-2</v>
      </c>
      <c r="N34" s="59">
        <f>'Model -Guard + Adeq $ and %'!BO41</f>
        <v>0.12147088093660857</v>
      </c>
      <c r="O34" s="59" t="e">
        <f>'Model -Guard + Adeq $ and %'!BP41</f>
        <v>#DIV/0!</v>
      </c>
      <c r="P34" s="59" t="e">
        <f>'Model -Guard + Adeq $ and %'!BQ41</f>
        <v>#DIV/0!</v>
      </c>
      <c r="Q34" s="59" t="e">
        <f>'Model -Guard + Adeq $ and %'!BR41</f>
        <v>#DIV/0!</v>
      </c>
      <c r="R34" s="59" t="e">
        <f>'Model -Guard + Adeq $ and %'!BS41</f>
        <v>#DIV/0!</v>
      </c>
      <c r="S34" s="59" t="e">
        <f>'Model -Guard + Adeq $ and %'!BT41</f>
        <v>#DIV/0!</v>
      </c>
      <c r="T34" s="61" t="e">
        <f>'Model -Guard + Adeq $ and %'!BU41</f>
        <v>#DIV/0!</v>
      </c>
      <c r="U34" s="1"/>
    </row>
    <row r="35" spans="2:21" x14ac:dyDescent="0.2">
      <c r="B35" s="14" t="s">
        <v>11</v>
      </c>
      <c r="C35" s="2">
        <f>'Model -Guard + Adeq $ and %'!BD42</f>
        <v>195405555.48763829</v>
      </c>
      <c r="D35" s="2">
        <f>'Model -Guard + Adeq $ and %'!BE42</f>
        <v>75892247.402372122</v>
      </c>
      <c r="E35" s="59">
        <f>'Model -Guard + Adeq $ and %'!BF42</f>
        <v>0.17130739560044089</v>
      </c>
      <c r="F35" s="59">
        <f>'Model -Guard + Adeq $ and %'!BG42</f>
        <v>0.16435547569785364</v>
      </c>
      <c r="G35" s="59">
        <f>'Model -Guard + Adeq $ and %'!BH42</f>
        <v>0.15814695644643309</v>
      </c>
      <c r="H35" s="59">
        <f>'Model -Guard + Adeq $ and %'!BI42</f>
        <v>0.15233527924731</v>
      </c>
      <c r="I35" s="59">
        <f>'Model -Guard + Adeq $ and %'!BJ42</f>
        <v>0.1465127673087023</v>
      </c>
      <c r="J35" s="59">
        <f>'Model -Guard + Adeq $ and %'!BK42</f>
        <v>0.14007409865708359</v>
      </c>
      <c r="K35" s="59">
        <f>'Model -Guard + Adeq $ and %'!BL42</f>
        <v>0.13189439345327411</v>
      </c>
      <c r="L35" s="59">
        <f>'Model -Guard + Adeq $ and %'!BM42</f>
        <v>0.11936665283796638</v>
      </c>
      <c r="M35" s="59">
        <f>'Model -Guard + Adeq $ and %'!BN42</f>
        <v>9.4322451300177329E-2</v>
      </c>
      <c r="N35" s="59">
        <f>'Model -Guard + Adeq $ and %'!BO42</f>
        <v>0.03</v>
      </c>
      <c r="O35" s="59" t="e">
        <f>'Model -Guard + Adeq $ and %'!BP42</f>
        <v>#DIV/0!</v>
      </c>
      <c r="P35" s="59" t="e">
        <f>'Model -Guard + Adeq $ and %'!BQ42</f>
        <v>#DIV/0!</v>
      </c>
      <c r="Q35" s="59" t="e">
        <f>'Model -Guard + Adeq $ and %'!BR42</f>
        <v>#DIV/0!</v>
      </c>
      <c r="R35" s="59" t="e">
        <f>'Model -Guard + Adeq $ and %'!BS42</f>
        <v>#DIV/0!</v>
      </c>
      <c r="S35" s="59" t="e">
        <f>'Model -Guard + Adeq $ and %'!BT42</f>
        <v>#DIV/0!</v>
      </c>
      <c r="T35" s="61" t="e">
        <f>'Model -Guard + Adeq $ and %'!BU42</f>
        <v>#DIV/0!</v>
      </c>
      <c r="U35" s="1"/>
    </row>
    <row r="36" spans="2:21" x14ac:dyDescent="0.2">
      <c r="B36" s="15" t="s">
        <v>14</v>
      </c>
      <c r="C36" s="53">
        <f>'Model -Guard + Adeq $ and %'!BD43</f>
        <v>4467075684.9250851</v>
      </c>
      <c r="D36" s="53">
        <f>'Model -Guard + Adeq $ and %'!BE43</f>
        <v>1365370425.5038662</v>
      </c>
      <c r="E36" s="153">
        <f>'Model -Guard + Adeq $ and %'!$C$4</f>
        <v>0.12</v>
      </c>
      <c r="F36" s="25">
        <f>'Model -Guard + Adeq $ and %'!$C$4</f>
        <v>0.12</v>
      </c>
      <c r="G36" s="25">
        <f>'Model -Guard + Adeq $ and %'!$C$4</f>
        <v>0.12</v>
      </c>
      <c r="H36" s="25">
        <f>'Model -Guard + Adeq $ and %'!$C$4</f>
        <v>0.12</v>
      </c>
      <c r="I36" s="25">
        <f>'Model -Guard + Adeq $ and %'!$C$4</f>
        <v>0.12</v>
      </c>
      <c r="J36" s="25">
        <f>'Model -Guard + Adeq $ and %'!$C$4</f>
        <v>0.12</v>
      </c>
      <c r="K36" s="25">
        <f>'Model -Guard + Adeq $ and %'!$C$4</f>
        <v>0.12</v>
      </c>
      <c r="L36" s="25">
        <f>'Model -Guard + Adeq $ and %'!$C$4</f>
        <v>0.12</v>
      </c>
      <c r="M36" s="25">
        <f>'Model -Guard + Adeq $ and %'!$C$4</f>
        <v>0.12</v>
      </c>
      <c r="N36" s="25">
        <f>'Model -Guard + Adeq $ and %'!$C$4</f>
        <v>0.12</v>
      </c>
      <c r="O36" s="25">
        <f>'Model -Guard + Adeq $ and %'!$C$4</f>
        <v>0.12</v>
      </c>
      <c r="P36" s="25">
        <f>'Model -Guard + Adeq $ and %'!$C$4</f>
        <v>0.12</v>
      </c>
      <c r="Q36" s="25">
        <f>'Model -Guard + Adeq $ and %'!$C$4</f>
        <v>0.12</v>
      </c>
      <c r="R36" s="25">
        <f>'Model -Guard + Adeq $ and %'!$C$4</f>
        <v>0.12</v>
      </c>
      <c r="S36" s="25">
        <f>'Model -Guard + Adeq $ and %'!$C$4</f>
        <v>0.12</v>
      </c>
      <c r="T36" s="42">
        <f>'Model -Guard + Adeq $ and %'!$C$4</f>
        <v>0.12</v>
      </c>
      <c r="U36" s="21"/>
    </row>
  </sheetData>
  <conditionalFormatting sqref="E8:T20">
    <cfRule type="colorScale" priority="5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:T35">
    <cfRule type="colorScale" priority="5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88AFF-6988-9A4B-B950-BF1945D58A72}">
  <dimension ref="A2:BU399"/>
  <sheetViews>
    <sheetView zoomScale="140" zoomScaleNormal="140" workbookViewId="0">
      <pane xSplit="2" topLeftCell="C1" activePane="topRight" state="frozen"/>
      <selection pane="topRight" activeCell="C5" sqref="C5"/>
    </sheetView>
  </sheetViews>
  <sheetFormatPr baseColWidth="10" defaultRowHeight="15" x14ac:dyDescent="0.2"/>
  <cols>
    <col min="2" max="2" width="34.33203125" bestFit="1" customWidth="1"/>
    <col min="3" max="3" width="19.83203125" customWidth="1"/>
    <col min="4" max="4" width="15.83203125" customWidth="1"/>
    <col min="5" max="5" width="16" customWidth="1"/>
    <col min="6" max="6" width="14.6640625" bestFit="1" customWidth="1"/>
    <col min="7" max="7" width="14.6640625" customWidth="1"/>
    <col min="8" max="8" width="13" customWidth="1"/>
    <col min="9" max="32" width="13.33203125" customWidth="1"/>
    <col min="33" max="33" width="16.5" customWidth="1"/>
    <col min="34" max="36" width="13.33203125" customWidth="1"/>
    <col min="37" max="38" width="17.1640625" customWidth="1"/>
    <col min="39" max="41" width="11.1640625" customWidth="1"/>
    <col min="42" max="42" width="14.83203125" customWidth="1"/>
    <col min="43" max="45" width="11.1640625" customWidth="1"/>
    <col min="46" max="46" width="14.1640625" customWidth="1"/>
    <col min="47" max="47" width="14.83203125" customWidth="1"/>
    <col min="48" max="51" width="11.1640625" customWidth="1"/>
    <col min="52" max="52" width="16.33203125" customWidth="1"/>
    <col min="53" max="53" width="14.6640625" bestFit="1" customWidth="1"/>
    <col min="54" max="54" width="14.6640625" customWidth="1"/>
    <col min="55" max="55" width="34.33203125" bestFit="1" customWidth="1"/>
    <col min="56" max="57" width="16.33203125" customWidth="1"/>
  </cols>
  <sheetData>
    <row r="2" spans="1:68" x14ac:dyDescent="0.2">
      <c r="A2" s="250">
        <v>0</v>
      </c>
      <c r="B2" t="s">
        <v>26</v>
      </c>
      <c r="C2" s="4">
        <v>1142244899.9999998</v>
      </c>
      <c r="D2" s="4"/>
      <c r="E2" s="45" t="s">
        <v>64</v>
      </c>
    </row>
    <row r="3" spans="1:68" ht="16" thickBot="1" x14ac:dyDescent="0.25">
      <c r="A3" s="250"/>
      <c r="B3" t="s">
        <v>27</v>
      </c>
      <c r="C3" s="6">
        <f>C2*(1+C4)</f>
        <v>1279314287.9999998</v>
      </c>
      <c r="D3" s="6"/>
    </row>
    <row r="4" spans="1:68" ht="17" thickBot="1" x14ac:dyDescent="0.25">
      <c r="A4" s="250"/>
      <c r="B4" t="s">
        <v>28</v>
      </c>
      <c r="C4" s="44">
        <v>0.12</v>
      </c>
      <c r="D4" s="65"/>
      <c r="E4" s="46" t="s">
        <v>65</v>
      </c>
    </row>
    <row r="5" spans="1:68" ht="16" thickBot="1" x14ac:dyDescent="0.25">
      <c r="A5" s="250"/>
      <c r="B5" t="s">
        <v>16</v>
      </c>
      <c r="C5" s="43">
        <v>0.03</v>
      </c>
      <c r="D5" s="20"/>
    </row>
    <row r="6" spans="1:68" ht="15" customHeight="1" x14ac:dyDescent="0.2">
      <c r="A6" s="250"/>
      <c r="B6" t="s">
        <v>31</v>
      </c>
      <c r="C6" s="6">
        <f>C3-C2</f>
        <v>137069388</v>
      </c>
      <c r="D6" s="6"/>
    </row>
    <row r="7" spans="1:68" ht="22" thickBot="1" x14ac:dyDescent="0.3">
      <c r="A7" s="250"/>
      <c r="B7" t="s">
        <v>48</v>
      </c>
      <c r="C7" s="20">
        <f>((1+$C$5)^A2)-1</f>
        <v>0</v>
      </c>
      <c r="D7" s="20"/>
      <c r="I7" s="251" t="s">
        <v>73</v>
      </c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30" t="s">
        <v>197</v>
      </c>
      <c r="U7" s="230"/>
      <c r="V7" s="227"/>
      <c r="W7" s="227"/>
      <c r="X7" s="227"/>
      <c r="Y7" s="227"/>
      <c r="Z7" s="227"/>
      <c r="AA7" s="227"/>
      <c r="AB7" s="227"/>
      <c r="AC7" s="227"/>
      <c r="AD7" s="227"/>
      <c r="AE7" s="228"/>
      <c r="AF7" s="228"/>
      <c r="AG7" s="228"/>
      <c r="AH7" s="228"/>
      <c r="AI7" s="228"/>
      <c r="AJ7" s="228"/>
      <c r="AK7" s="228"/>
      <c r="AL7" s="228"/>
      <c r="AM7" s="229"/>
      <c r="AN7" s="229"/>
      <c r="AO7" s="229"/>
      <c r="AP7" s="229"/>
      <c r="AQ7" s="229"/>
      <c r="AR7" s="229"/>
      <c r="AS7" s="231"/>
    </row>
    <row r="8" spans="1:68" ht="28" customHeight="1" thickBot="1" x14ac:dyDescent="0.3">
      <c r="A8" s="250"/>
      <c r="B8" t="s">
        <v>105</v>
      </c>
      <c r="C8" s="104">
        <v>1</v>
      </c>
      <c r="D8" s="20"/>
      <c r="I8" s="252" t="s">
        <v>74</v>
      </c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48" t="s">
        <v>210</v>
      </c>
      <c r="U8" s="248"/>
      <c r="V8" s="248"/>
      <c r="W8" s="248"/>
      <c r="X8" s="248"/>
      <c r="Y8" s="248"/>
      <c r="Z8" s="248"/>
      <c r="AA8" s="253" t="s">
        <v>209</v>
      </c>
      <c r="AB8" s="253"/>
      <c r="AC8" s="253"/>
      <c r="AD8" s="253"/>
      <c r="AE8" s="253"/>
      <c r="AF8" s="243" t="s">
        <v>208</v>
      </c>
      <c r="AG8" s="243"/>
      <c r="AH8" s="243"/>
      <c r="AI8" s="243"/>
      <c r="AJ8" s="243"/>
      <c r="AK8" s="236" t="s">
        <v>207</v>
      </c>
      <c r="AL8" s="236"/>
      <c r="AM8" s="236"/>
      <c r="AN8" s="236"/>
      <c r="AO8" s="246" t="s">
        <v>206</v>
      </c>
      <c r="AP8" s="246"/>
      <c r="AQ8" s="246"/>
      <c r="AR8" s="246"/>
      <c r="AS8" s="232"/>
      <c r="BC8" s="12" t="s">
        <v>66</v>
      </c>
    </row>
    <row r="9" spans="1:68" ht="33" customHeight="1" x14ac:dyDescent="0.25">
      <c r="A9" s="166"/>
      <c r="C9" s="220"/>
      <c r="D9" s="20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249"/>
      <c r="U9" s="249"/>
      <c r="V9" s="249"/>
      <c r="W9" s="249"/>
      <c r="X9" s="249"/>
      <c r="Y9" s="249"/>
      <c r="Z9" s="249"/>
      <c r="AA9" s="254"/>
      <c r="AB9" s="254"/>
      <c r="AC9" s="254"/>
      <c r="AD9" s="254"/>
      <c r="AE9" s="254"/>
      <c r="AF9" s="244"/>
      <c r="AG9" s="244"/>
      <c r="AH9" s="244"/>
      <c r="AI9" s="244"/>
      <c r="AJ9" s="244"/>
      <c r="AK9" s="245"/>
      <c r="AL9" s="245"/>
      <c r="AM9" s="245"/>
      <c r="AN9" s="245"/>
      <c r="AO9" s="247"/>
      <c r="AP9" s="247"/>
      <c r="AQ9" s="247"/>
      <c r="AR9" s="247"/>
      <c r="AS9" s="232"/>
      <c r="BC9" s="12"/>
    </row>
    <row r="10" spans="1:68" ht="49" thickBot="1" x14ac:dyDescent="0.25">
      <c r="A10" s="250" t="s">
        <v>51</v>
      </c>
      <c r="B10" s="22" t="s">
        <v>12</v>
      </c>
      <c r="C10" s="13" t="s">
        <v>15</v>
      </c>
      <c r="D10" s="13" t="s">
        <v>63</v>
      </c>
      <c r="E10" s="13" t="s">
        <v>29</v>
      </c>
      <c r="F10" s="13" t="s">
        <v>13</v>
      </c>
      <c r="G10" s="13" t="s">
        <v>50</v>
      </c>
      <c r="H10" s="13" t="s">
        <v>17</v>
      </c>
      <c r="I10" s="28" t="s">
        <v>133</v>
      </c>
      <c r="J10" s="28" t="s">
        <v>201</v>
      </c>
      <c r="K10" s="28" t="s">
        <v>22</v>
      </c>
      <c r="L10" s="28" t="s">
        <v>49</v>
      </c>
      <c r="M10" s="28" t="s">
        <v>23</v>
      </c>
      <c r="N10" s="28" t="s">
        <v>71</v>
      </c>
      <c r="O10" s="28" t="s">
        <v>147</v>
      </c>
      <c r="P10" s="28" t="s">
        <v>33</v>
      </c>
      <c r="Q10" s="28" t="s">
        <v>146</v>
      </c>
      <c r="R10" s="28" t="s">
        <v>196</v>
      </c>
      <c r="S10" s="28" t="s">
        <v>190</v>
      </c>
      <c r="T10" s="128" t="s">
        <v>200</v>
      </c>
      <c r="U10" s="128" t="s">
        <v>193</v>
      </c>
      <c r="V10" s="128" t="s">
        <v>194</v>
      </c>
      <c r="W10" s="128" t="s">
        <v>195</v>
      </c>
      <c r="X10" s="128" t="s">
        <v>146</v>
      </c>
      <c r="Y10" s="128" t="s">
        <v>144</v>
      </c>
      <c r="Z10" s="128" t="s">
        <v>190</v>
      </c>
      <c r="AA10" s="125" t="s">
        <v>198</v>
      </c>
      <c r="AB10" s="125" t="s">
        <v>190</v>
      </c>
      <c r="AC10" s="125" t="s">
        <v>146</v>
      </c>
      <c r="AD10" s="125" t="s">
        <v>144</v>
      </c>
      <c r="AE10" s="125" t="s">
        <v>190</v>
      </c>
      <c r="AF10" s="119" t="s">
        <v>199</v>
      </c>
      <c r="AG10" s="119" t="s">
        <v>148</v>
      </c>
      <c r="AH10" s="119" t="s">
        <v>146</v>
      </c>
      <c r="AI10" s="119" t="s">
        <v>144</v>
      </c>
      <c r="AJ10" s="119" t="s">
        <v>190</v>
      </c>
      <c r="AK10" s="122" t="s">
        <v>145</v>
      </c>
      <c r="AL10" s="122" t="s">
        <v>146</v>
      </c>
      <c r="AM10" s="122" t="s">
        <v>144</v>
      </c>
      <c r="AN10" s="122" t="s">
        <v>190</v>
      </c>
      <c r="AO10" s="212" t="s">
        <v>191</v>
      </c>
      <c r="AP10" s="212" t="s">
        <v>146</v>
      </c>
      <c r="AQ10" s="212" t="s">
        <v>144</v>
      </c>
      <c r="AR10" s="212" t="s">
        <v>190</v>
      </c>
      <c r="AS10" s="28"/>
      <c r="AT10" s="28" t="s">
        <v>32</v>
      </c>
      <c r="AU10" s="28" t="s">
        <v>192</v>
      </c>
      <c r="AX10" s="22" t="s">
        <v>12</v>
      </c>
      <c r="AY10" s="13" t="s">
        <v>15</v>
      </c>
      <c r="AZ10" s="13" t="s">
        <v>13</v>
      </c>
      <c r="BA10" s="13" t="s">
        <v>37</v>
      </c>
      <c r="BB10" s="13" t="s">
        <v>35</v>
      </c>
      <c r="BC10" s="13" t="s">
        <v>36</v>
      </c>
      <c r="BD10" s="13" t="s">
        <v>38</v>
      </c>
      <c r="BE10" s="13" t="s">
        <v>39</v>
      </c>
      <c r="BF10" s="13" t="s">
        <v>40</v>
      </c>
      <c r="BG10" s="13" t="s">
        <v>41</v>
      </c>
      <c r="BH10" s="13" t="s">
        <v>42</v>
      </c>
      <c r="BI10" s="13" t="s">
        <v>43</v>
      </c>
      <c r="BJ10" s="13" t="s">
        <v>44</v>
      </c>
      <c r="BK10" s="13" t="s">
        <v>45</v>
      </c>
      <c r="BL10" s="13" t="s">
        <v>46</v>
      </c>
      <c r="BM10" s="13" t="s">
        <v>47</v>
      </c>
      <c r="BN10" s="13" t="s">
        <v>75</v>
      </c>
      <c r="BO10" s="13" t="s">
        <v>76</v>
      </c>
      <c r="BP10" s="23" t="s">
        <v>77</v>
      </c>
    </row>
    <row r="11" spans="1:68" ht="17" customHeight="1" thickTop="1" x14ac:dyDescent="0.2">
      <c r="A11" s="250"/>
      <c r="B11" s="14" t="s">
        <v>0</v>
      </c>
      <c r="C11" s="167">
        <v>78956168.135446429</v>
      </c>
      <c r="D11" s="167">
        <v>12830661.290889721</v>
      </c>
      <c r="E11" s="18">
        <v>39493233.333333336</v>
      </c>
      <c r="F11" s="4">
        <f>C11-E11-D11</f>
        <v>26632273.511223372</v>
      </c>
      <c r="G11" s="1">
        <f>1-H11</f>
        <v>0.66269546584965122</v>
      </c>
      <c r="H11" s="1">
        <f>MAX(0,F11/C11)</f>
        <v>0.33730453415034878</v>
      </c>
      <c r="I11" s="29">
        <f>MIN($C$5,($C$4*0.5))*$C$8</f>
        <v>0.03</v>
      </c>
      <c r="J11" s="2">
        <f>I11*E11</f>
        <v>1184797</v>
      </c>
      <c r="K11" s="16">
        <f t="shared" ref="K11:K22" si="0">H11/$H$24</f>
        <v>7.4708035742768714E-2</v>
      </c>
      <c r="L11" s="16">
        <f t="shared" ref="L11:L22" si="1">G11/$G$24</f>
        <v>8.8536112581282259E-2</v>
      </c>
      <c r="M11" s="2">
        <f>$J$24*IF($J$24&lt;0,L11,K11)*0.5</f>
        <v>3840069.2767287875</v>
      </c>
      <c r="N11" s="16">
        <f t="shared" ref="N11:N22" si="2">MAX(F11,0)/$F$23</f>
        <v>1.865665362136866E-2</v>
      </c>
      <c r="O11" s="2">
        <f>N11*$J$24*0.5</f>
        <v>958971.03525336972</v>
      </c>
      <c r="P11" s="2">
        <f t="shared" ref="P11:P22" si="3">J11+M11+O11</f>
        <v>5983837.3119821567</v>
      </c>
      <c r="Q11" s="134">
        <f>P11/E11</f>
        <v>0.15151550802328559</v>
      </c>
      <c r="R11" s="134">
        <f t="shared" ref="R11:R23" si="4">P11/$P$23</f>
        <v>4.3655533881731177E-2</v>
      </c>
      <c r="S11" s="135">
        <f t="shared" ref="S11:S23" si="5">P11/AU11</f>
        <v>2529.4507448142131</v>
      </c>
      <c r="T11" s="130">
        <f t="shared" ref="T11:T23" si="6">J11</f>
        <v>1184797</v>
      </c>
      <c r="U11" s="129">
        <f t="shared" ref="U11:U22" si="7">$C$4*($H$23/H11)</f>
        <v>0.11228676493118954</v>
      </c>
      <c r="V11" s="130">
        <f t="shared" ref="V11:V22" si="8">U11*E11</f>
        <v>4434567.4076726194</v>
      </c>
      <c r="W11" s="130">
        <f>V11-(V11/$V$23)*$V$24</f>
        <v>2005327.0521472329</v>
      </c>
      <c r="X11" s="129">
        <f>(W11+T11)/E11</f>
        <v>8.0776471888785145E-2</v>
      </c>
      <c r="Y11" s="129">
        <f>W11/$W$23</f>
        <v>1.950668520430672E-2</v>
      </c>
      <c r="Z11" s="130">
        <f t="shared" ref="Z11:Z23" si="9">W11/AU11</f>
        <v>847.67946406111025</v>
      </c>
      <c r="AA11" s="127">
        <f t="shared" ref="AA11:AA22" si="10">L11</f>
        <v>8.8536112581282259E-2</v>
      </c>
      <c r="AB11" s="126">
        <f>AA11*$C$6</f>
        <v>12135590.76741546</v>
      </c>
      <c r="AC11" s="127">
        <f t="shared" ref="AC11:AC23" si="11">AB11/E11</f>
        <v>0.30728278601521086</v>
      </c>
      <c r="AD11" s="127">
        <f t="shared" ref="AD11:AD23" si="12">AB11/$P$23</f>
        <v>8.8536112581282259E-2</v>
      </c>
      <c r="AE11" s="131">
        <f t="shared" ref="AE11:AE23" si="13">AB11/AU11</f>
        <v>5129.8819645267549</v>
      </c>
      <c r="AF11" s="120">
        <f t="shared" ref="AF11:AF22" si="14">0.5*$C$4*E11</f>
        <v>2369594</v>
      </c>
      <c r="AG11" s="120">
        <f t="shared" ref="AG11:AG22" si="15">($C$6-$AF$23)*L11</f>
        <v>6067795.3837077301</v>
      </c>
      <c r="AH11" s="121">
        <f t="shared" ref="AH11:AH23" si="16">(AF11+AG11)/E11</f>
        <v>0.21364139300760543</v>
      </c>
      <c r="AI11" s="121">
        <f t="shared" ref="AI11:AI23" si="17">(AG11+AF11)/$P$23</f>
        <v>6.1555607031000457E-2</v>
      </c>
      <c r="AJ11" s="132">
        <f t="shared" ref="AJ11:AJ23" si="18">AG11/AU11</f>
        <v>2564.9409822633775</v>
      </c>
      <c r="AK11" s="123">
        <f t="shared" ref="AK11:AK23" si="19">$C$6/$AU$23*AU11</f>
        <v>1830525.3576931325</v>
      </c>
      <c r="AL11" s="124">
        <f t="shared" ref="AL11:AL23" si="20">(AK11)/E11</f>
        <v>4.6350354306091232E-2</v>
      </c>
      <c r="AM11" s="124">
        <f t="shared" ref="AM11:AM23" si="21">AK11/$AK$23</f>
        <v>1.3354735031669744E-2</v>
      </c>
      <c r="AN11" s="133">
        <f t="shared" ref="AN11:AN23" si="22">AK11/AU11</f>
        <v>773.7883715766377</v>
      </c>
      <c r="AO11" s="213">
        <f t="shared" ref="AO11:AO23" si="23">$C$4*E11</f>
        <v>4739188</v>
      </c>
      <c r="AP11" s="214">
        <f t="shared" ref="AP11:AP23" si="24">AO11/E11</f>
        <v>0.12</v>
      </c>
      <c r="AQ11" s="214">
        <f>AO11/$AO$23</f>
        <v>3.4575101480718663E-2</v>
      </c>
      <c r="AR11" s="215">
        <f>AO11/AU11</f>
        <v>2003.3202761730311</v>
      </c>
      <c r="AS11" s="233"/>
      <c r="AT11" s="2">
        <f t="shared" ref="AT11:AT22" si="25">P11+E11</f>
        <v>45477070.645315491</v>
      </c>
      <c r="AU11" s="117">
        <v>2365.6666666666665</v>
      </c>
      <c r="AV11" s="157"/>
      <c r="AW11" s="157"/>
      <c r="AX11" s="14" t="s">
        <v>0</v>
      </c>
      <c r="AY11" s="2">
        <v>74061017.606188729</v>
      </c>
      <c r="AZ11" s="31">
        <v>20012870.843441181</v>
      </c>
      <c r="BA11" s="24">
        <f t="shared" ref="BA11:BA23" si="26">H11</f>
        <v>0.33730453415034878</v>
      </c>
      <c r="BB11" s="24">
        <f t="shared" ref="BB11:BB23" si="27">H36</f>
        <v>0.27829378744307659</v>
      </c>
      <c r="BC11" s="24">
        <f t="shared" ref="BC11:BC23" si="28">H61</f>
        <v>0.22012247570103796</v>
      </c>
      <c r="BD11" s="24">
        <f t="shared" ref="BD11:BD23" si="29">H86</f>
        <v>0.16420399731395086</v>
      </c>
      <c r="BE11" s="24">
        <f t="shared" ref="BE11:BE23" si="30">H111</f>
        <v>0.11237862481960599</v>
      </c>
      <c r="BF11" s="24">
        <f t="shared" ref="BF11:BF23" si="31">H136</f>
        <v>6.6988563393309636E-2</v>
      </c>
      <c r="BG11" s="24">
        <f t="shared" ref="BG11:BG23" si="32">H161</f>
        <v>3.0895512043361679E-2</v>
      </c>
      <c r="BH11" s="24">
        <f t="shared" ref="BH11:BH23" si="33">H186</f>
        <v>7.268229107356753E-3</v>
      </c>
      <c r="BI11" s="24">
        <f t="shared" ref="BI11:BI23" si="34">H211</f>
        <v>0</v>
      </c>
      <c r="BJ11" s="24">
        <f t="shared" ref="BJ11:BJ23" si="35">H236</f>
        <v>0</v>
      </c>
      <c r="BK11" s="24">
        <f t="shared" ref="BK11:BK23" si="36">H261</f>
        <v>0</v>
      </c>
      <c r="BL11" s="24" t="e">
        <f t="shared" ref="BL11:BL23" si="37">H286</f>
        <v>#DIV/0!</v>
      </c>
      <c r="BM11" s="24" t="e">
        <f t="shared" ref="BM11:BM23" si="38">H311</f>
        <v>#DIV/0!</v>
      </c>
      <c r="BN11" s="24" t="e">
        <f t="shared" ref="BN11:BN23" si="39">H336</f>
        <v>#DIV/0!</v>
      </c>
      <c r="BO11" s="24" t="e">
        <f t="shared" ref="BO11:BO23" si="40">H361</f>
        <v>#DIV/0!</v>
      </c>
      <c r="BP11" s="32" t="e">
        <f t="shared" ref="BP11:BP23" si="41">H386</f>
        <v>#DIV/0!</v>
      </c>
    </row>
    <row r="12" spans="1:68" ht="16" x14ac:dyDescent="0.2">
      <c r="A12" s="250"/>
      <c r="B12" s="14" t="s">
        <v>1</v>
      </c>
      <c r="C12" s="167">
        <v>168342534.76721171</v>
      </c>
      <c r="D12" s="167">
        <v>56973001.42234046</v>
      </c>
      <c r="E12" s="18">
        <v>42979166.666666664</v>
      </c>
      <c r="F12" s="4">
        <f t="shared" ref="F12:F22" si="42">C12-E12-D12</f>
        <v>68390366.678204596</v>
      </c>
      <c r="G12" s="1">
        <f t="shared" ref="G12:G22" si="43">1-H12</f>
        <v>0.5937428008151564</v>
      </c>
      <c r="H12" s="1">
        <f t="shared" ref="H12:H23" si="44">MAX(0,F12/C12)</f>
        <v>0.40625719918484365</v>
      </c>
      <c r="I12" s="29">
        <f t="shared" ref="I12:I22" si="45">MIN($C$5,($C$4*0.5))*$C$8</f>
        <v>0.03</v>
      </c>
      <c r="J12" s="2">
        <f t="shared" ref="J12:J22" si="46">I12*E12</f>
        <v>1289374.9999999998</v>
      </c>
      <c r="K12" s="16">
        <f t="shared" si="0"/>
        <v>8.9980045580798557E-2</v>
      </c>
      <c r="L12" s="16">
        <f t="shared" si="1"/>
        <v>7.9324036705002599E-2</v>
      </c>
      <c r="M12" s="2">
        <f t="shared" ref="M12:M22" si="47">$J$24*IF($J$24&lt;0,L12,K12)*0.5</f>
        <v>4625066.1674895613</v>
      </c>
      <c r="N12" s="16">
        <f t="shared" si="2"/>
        <v>4.7909367618050022E-2</v>
      </c>
      <c r="O12" s="2">
        <f t="shared" ref="O12:O22" si="48">N12*$J$24*0.5</f>
        <v>2462590.3870774251</v>
      </c>
      <c r="P12" s="2">
        <f t="shared" si="3"/>
        <v>8377031.5545669869</v>
      </c>
      <c r="Q12" s="134">
        <f t="shared" ref="Q12:Q23" si="49">P12/E12</f>
        <v>0.19490912002870353</v>
      </c>
      <c r="R12" s="134">
        <f t="shared" si="4"/>
        <v>6.1115261961824673E-2</v>
      </c>
      <c r="S12" s="135">
        <f t="shared" si="5"/>
        <v>1321.4373048533473</v>
      </c>
      <c r="T12" s="130">
        <f t="shared" si="6"/>
        <v>1289374.9999999998</v>
      </c>
      <c r="U12" s="129">
        <f t="shared" si="7"/>
        <v>9.3228710807736051E-2</v>
      </c>
      <c r="V12" s="130">
        <f t="shared" si="8"/>
        <v>4006892.2999241552</v>
      </c>
      <c r="W12" s="130">
        <f t="shared" ref="W12:W22" si="50">V12-(V12/$V$23)*$V$24</f>
        <v>1811930.8571510487</v>
      </c>
      <c r="X12" s="129">
        <f t="shared" ref="X12:X23" si="51">(W12+T12)/E12</f>
        <v>7.2158352468856199E-2</v>
      </c>
      <c r="Y12" s="129">
        <f t="shared" ref="Y12:Y22" si="52">W12/$W$23</f>
        <v>1.7625436611234682E-2</v>
      </c>
      <c r="Z12" s="130">
        <f t="shared" si="9"/>
        <v>285.82356564586945</v>
      </c>
      <c r="AA12" s="127">
        <f t="shared" si="10"/>
        <v>7.9324036705002599E-2</v>
      </c>
      <c r="AB12" s="126">
        <f t="shared" ref="AB12:AB22" si="53">AA12*$C$6</f>
        <v>10872897.164844243</v>
      </c>
      <c r="AC12" s="127">
        <f t="shared" si="11"/>
        <v>0.2529806417414075</v>
      </c>
      <c r="AD12" s="127">
        <f t="shared" si="12"/>
        <v>7.9324036705002599E-2</v>
      </c>
      <c r="AE12" s="131">
        <f t="shared" si="13"/>
        <v>1715.1483591614642</v>
      </c>
      <c r="AF12" s="120">
        <f t="shared" si="14"/>
        <v>2578749.9999999995</v>
      </c>
      <c r="AG12" s="120">
        <f t="shared" si="15"/>
        <v>5436448.5824221214</v>
      </c>
      <c r="AH12" s="121">
        <f t="shared" si="16"/>
        <v>0.18649032087070375</v>
      </c>
      <c r="AI12" s="121">
        <f t="shared" si="17"/>
        <v>5.8475482377014193E-2</v>
      </c>
      <c r="AJ12" s="132">
        <f t="shared" si="18"/>
        <v>857.57417958073211</v>
      </c>
      <c r="AK12" s="123">
        <f t="shared" si="19"/>
        <v>4905302.4168814989</v>
      </c>
      <c r="AL12" s="124">
        <f t="shared" si="20"/>
        <v>0.11413209695119339</v>
      </c>
      <c r="AM12" s="124">
        <f t="shared" si="21"/>
        <v>3.5787001667224913E-2</v>
      </c>
      <c r="AN12" s="133">
        <f t="shared" si="22"/>
        <v>773.7883715766377</v>
      </c>
      <c r="AO12" s="213">
        <f t="shared" si="23"/>
        <v>5157499.9999999991</v>
      </c>
      <c r="AP12" s="214">
        <f t="shared" si="24"/>
        <v>0.11999999999999998</v>
      </c>
      <c r="AQ12" s="214">
        <f t="shared" ref="AQ12:AQ23" si="54">AO12/$AO$23</f>
        <v>3.7626928049025801E-2</v>
      </c>
      <c r="AR12" s="215">
        <f t="shared" ref="AR12:AR23" si="55">AO12/AU12</f>
        <v>813.57135345462166</v>
      </c>
      <c r="AS12" s="233"/>
      <c r="AT12" s="2">
        <f t="shared" si="25"/>
        <v>51356198.221233651</v>
      </c>
      <c r="AU12" s="117">
        <v>6339.3333333333339</v>
      </c>
      <c r="AV12" s="157"/>
      <c r="AW12" s="157"/>
      <c r="AX12" s="14" t="s">
        <v>1</v>
      </c>
      <c r="AY12" s="2">
        <v>164966421.92469403</v>
      </c>
      <c r="AZ12" s="31">
        <v>66753996.300633356</v>
      </c>
      <c r="BA12" s="24">
        <f t="shared" si="26"/>
        <v>0.40625719918484365</v>
      </c>
      <c r="BB12" s="24">
        <f t="shared" si="27"/>
        <v>0.36538089917305033</v>
      </c>
      <c r="BC12" s="24">
        <f t="shared" si="28"/>
        <v>0.32162998320545444</v>
      </c>
      <c r="BD12" s="24">
        <f t="shared" si="29"/>
        <v>0.27504321352963956</v>
      </c>
      <c r="BE12" s="24">
        <f t="shared" si="30"/>
        <v>0.22581883322215712</v>
      </c>
      <c r="BF12" s="24">
        <f t="shared" si="31"/>
        <v>0.17444067868774846</v>
      </c>
      <c r="BG12" s="24">
        <f t="shared" si="32"/>
        <v>0.12192575564849492</v>
      </c>
      <c r="BH12" s="24">
        <f t="shared" si="33"/>
        <v>7.0357159028477056E-2</v>
      </c>
      <c r="BI12" s="24">
        <f t="shared" si="34"/>
        <v>2.4194949254444299E-2</v>
      </c>
      <c r="BJ12" s="24">
        <f t="shared" si="35"/>
        <v>0</v>
      </c>
      <c r="BK12" s="24">
        <f t="shared" si="36"/>
        <v>0</v>
      </c>
      <c r="BL12" s="24" t="e">
        <f t="shared" si="37"/>
        <v>#DIV/0!</v>
      </c>
      <c r="BM12" s="24" t="e">
        <f t="shared" si="38"/>
        <v>#DIV/0!</v>
      </c>
      <c r="BN12" s="24" t="e">
        <f t="shared" si="39"/>
        <v>#DIV/0!</v>
      </c>
      <c r="BO12" s="24" t="e">
        <f t="shared" si="40"/>
        <v>#DIV/0!</v>
      </c>
      <c r="BP12" s="32" t="e">
        <f t="shared" si="41"/>
        <v>#DIV/0!</v>
      </c>
    </row>
    <row r="13" spans="1:68" ht="16" x14ac:dyDescent="0.2">
      <c r="A13" s="250"/>
      <c r="B13" s="14" t="s">
        <v>2</v>
      </c>
      <c r="C13" s="167">
        <v>116154740.0917486</v>
      </c>
      <c r="D13" s="167">
        <v>26526391.580971286</v>
      </c>
      <c r="E13" s="18">
        <v>23966733.333333332</v>
      </c>
      <c r="F13" s="4">
        <f t="shared" si="42"/>
        <v>65661615.177443981</v>
      </c>
      <c r="G13" s="1">
        <f t="shared" si="43"/>
        <v>0.43470567687914397</v>
      </c>
      <c r="H13" s="1">
        <f t="shared" si="44"/>
        <v>0.56529432312085603</v>
      </c>
      <c r="I13" s="29">
        <f t="shared" si="45"/>
        <v>0.03</v>
      </c>
      <c r="J13" s="2">
        <f t="shared" si="46"/>
        <v>719001.99999999988</v>
      </c>
      <c r="K13" s="16">
        <f t="shared" si="0"/>
        <v>0.12520444945478504</v>
      </c>
      <c r="L13" s="16">
        <f t="shared" si="1"/>
        <v>5.8076677344622352E-2</v>
      </c>
      <c r="M13" s="2">
        <f t="shared" si="47"/>
        <v>6435636.4731166195</v>
      </c>
      <c r="N13" s="16">
        <f t="shared" si="2"/>
        <v>4.5997800753620421E-2</v>
      </c>
      <c r="O13" s="2">
        <f t="shared" si="48"/>
        <v>2364333.8994917586</v>
      </c>
      <c r="P13" s="2">
        <f t="shared" si="3"/>
        <v>9518972.3726083785</v>
      </c>
      <c r="Q13" s="134">
        <f t="shared" si="49"/>
        <v>0.39717437667524064</v>
      </c>
      <c r="R13" s="134">
        <f t="shared" si="4"/>
        <v>6.9446376842423621E-2</v>
      </c>
      <c r="S13" s="135">
        <f t="shared" si="5"/>
        <v>2154.4260368031037</v>
      </c>
      <c r="T13" s="130">
        <f t="shared" si="6"/>
        <v>719001.99999999988</v>
      </c>
      <c r="U13" s="129">
        <f t="shared" si="7"/>
        <v>6.7000203942021955E-2</v>
      </c>
      <c r="V13" s="130">
        <f t="shared" si="8"/>
        <v>1605776.0211573888</v>
      </c>
      <c r="W13" s="130">
        <f t="shared" si="50"/>
        <v>726137.59108608472</v>
      </c>
      <c r="X13" s="129">
        <f t="shared" si="51"/>
        <v>6.0297728980701772E-2</v>
      </c>
      <c r="Y13" s="129">
        <f t="shared" si="52"/>
        <v>7.0634550055877271E-3</v>
      </c>
      <c r="Z13" s="130">
        <f t="shared" si="9"/>
        <v>164.34649364453068</v>
      </c>
      <c r="AA13" s="127">
        <f t="shared" si="10"/>
        <v>5.8076677344622352E-2</v>
      </c>
      <c r="AB13" s="126">
        <f t="shared" si="53"/>
        <v>7960534.6207008511</v>
      </c>
      <c r="AC13" s="127">
        <f t="shared" si="11"/>
        <v>0.33214933841773114</v>
      </c>
      <c r="AD13" s="127">
        <f t="shared" si="12"/>
        <v>5.8076677344622352E-2</v>
      </c>
      <c r="AE13" s="131">
        <f t="shared" si="13"/>
        <v>1801.7053083442138</v>
      </c>
      <c r="AF13" s="120">
        <f t="shared" si="14"/>
        <v>1438003.9999999998</v>
      </c>
      <c r="AG13" s="120">
        <f t="shared" si="15"/>
        <v>3980267.3103504255</v>
      </c>
      <c r="AH13" s="121">
        <f t="shared" si="16"/>
        <v>0.2260746692088656</v>
      </c>
      <c r="AI13" s="121">
        <f t="shared" si="17"/>
        <v>3.9529404700854323E-2</v>
      </c>
      <c r="AJ13" s="132">
        <f t="shared" si="18"/>
        <v>900.8526541721069</v>
      </c>
      <c r="AK13" s="123">
        <f t="shared" si="19"/>
        <v>3418854.9550827774</v>
      </c>
      <c r="AL13" s="124">
        <f t="shared" si="20"/>
        <v>0.14265001857085702</v>
      </c>
      <c r="AM13" s="124">
        <f t="shared" si="21"/>
        <v>2.4942512729996119E-2</v>
      </c>
      <c r="AN13" s="133">
        <f t="shared" si="22"/>
        <v>773.7883715766377</v>
      </c>
      <c r="AO13" s="213">
        <f t="shared" si="23"/>
        <v>2876007.9999999995</v>
      </c>
      <c r="AP13" s="214">
        <f t="shared" si="24"/>
        <v>0.11999999999999998</v>
      </c>
      <c r="AQ13" s="214">
        <f t="shared" si="54"/>
        <v>2.0982132057086298E-2</v>
      </c>
      <c r="AR13" s="215">
        <f t="shared" si="55"/>
        <v>650.92599019238014</v>
      </c>
      <c r="AS13" s="233"/>
      <c r="AT13" s="2">
        <f t="shared" si="25"/>
        <v>33485705.705941711</v>
      </c>
      <c r="AU13" s="117">
        <v>4418.333333333333</v>
      </c>
      <c r="AV13" s="157"/>
      <c r="AW13" s="157"/>
      <c r="AX13" s="14" t="s">
        <v>2</v>
      </c>
      <c r="AY13" s="2">
        <v>111850437.83915582</v>
      </c>
      <c r="AZ13" s="31">
        <v>59635517.784009442</v>
      </c>
      <c r="BA13" s="24">
        <f t="shared" si="26"/>
        <v>0.56529432312085603</v>
      </c>
      <c r="BB13" s="24">
        <f t="shared" si="27"/>
        <v>0.49174019567687932</v>
      </c>
      <c r="BC13" s="24">
        <f t="shared" si="28"/>
        <v>0.41543386131113758</v>
      </c>
      <c r="BD13" s="24">
        <f t="shared" si="29"/>
        <v>0.33725793318503061</v>
      </c>
      <c r="BE13" s="24">
        <f t="shared" si="30"/>
        <v>0.25860931652134694</v>
      </c>
      <c r="BF13" s="24">
        <f t="shared" si="31"/>
        <v>0.18166774780243444</v>
      </c>
      <c r="BG13" s="24">
        <f t="shared" si="32"/>
        <v>0.10983601205877723</v>
      </c>
      <c r="BH13" s="24">
        <f t="shared" si="33"/>
        <v>4.848167954766279E-2</v>
      </c>
      <c r="BI13" s="24">
        <f t="shared" si="34"/>
        <v>6.1629250851813972E-3</v>
      </c>
      <c r="BJ13" s="24">
        <f t="shared" si="35"/>
        <v>0</v>
      </c>
      <c r="BK13" s="24">
        <f t="shared" si="36"/>
        <v>0</v>
      </c>
      <c r="BL13" s="24" t="e">
        <f t="shared" si="37"/>
        <v>#DIV/0!</v>
      </c>
      <c r="BM13" s="24" t="e">
        <f t="shared" si="38"/>
        <v>#DIV/0!</v>
      </c>
      <c r="BN13" s="24" t="e">
        <f t="shared" si="39"/>
        <v>#DIV/0!</v>
      </c>
      <c r="BO13" s="24" t="e">
        <f t="shared" si="40"/>
        <v>#DIV/0!</v>
      </c>
      <c r="BP13" s="32" t="e">
        <f t="shared" si="41"/>
        <v>#DIV/0!</v>
      </c>
    </row>
    <row r="14" spans="1:68" ht="16" x14ac:dyDescent="0.2">
      <c r="A14" s="250"/>
      <c r="B14" s="14" t="s">
        <v>3</v>
      </c>
      <c r="C14" s="167">
        <v>478649488.63671184</v>
      </c>
      <c r="D14" s="167">
        <v>189226744.54741475</v>
      </c>
      <c r="E14" s="18">
        <v>71966633.333333328</v>
      </c>
      <c r="F14" s="4">
        <f t="shared" si="42"/>
        <v>217456110.75596377</v>
      </c>
      <c r="G14" s="1">
        <f t="shared" si="43"/>
        <v>0.54568819999093354</v>
      </c>
      <c r="H14" s="1">
        <f t="shared" si="44"/>
        <v>0.45431180000906651</v>
      </c>
      <c r="I14" s="29">
        <f t="shared" si="45"/>
        <v>0.03</v>
      </c>
      <c r="J14" s="2">
        <f t="shared" si="46"/>
        <v>2158999</v>
      </c>
      <c r="K14" s="16">
        <f t="shared" si="0"/>
        <v>0.10062343893162823</v>
      </c>
      <c r="L14" s="16">
        <f t="shared" si="1"/>
        <v>7.2903942154986134E-2</v>
      </c>
      <c r="M14" s="2">
        <f t="shared" si="47"/>
        <v>5172147.4473051205</v>
      </c>
      <c r="N14" s="16">
        <f t="shared" si="2"/>
        <v>0.15233409699379566</v>
      </c>
      <c r="O14" s="2">
        <f t="shared" si="48"/>
        <v>7830128.0424270788</v>
      </c>
      <c r="P14" s="2">
        <f t="shared" si="3"/>
        <v>15161274.489732198</v>
      </c>
      <c r="Q14" s="134">
        <f t="shared" si="49"/>
        <v>0.21067088715278051</v>
      </c>
      <c r="R14" s="134">
        <f t="shared" si="4"/>
        <v>0.11061021509581846</v>
      </c>
      <c r="S14" s="135">
        <f t="shared" si="5"/>
        <v>742.2779468176218</v>
      </c>
      <c r="T14" s="130">
        <f t="shared" si="6"/>
        <v>2158999</v>
      </c>
      <c r="U14" s="129">
        <f t="shared" si="7"/>
        <v>8.3367491083455814E-2</v>
      </c>
      <c r="V14" s="130">
        <f t="shared" si="8"/>
        <v>5999677.6627230002</v>
      </c>
      <c r="W14" s="130">
        <f t="shared" si="50"/>
        <v>2713075.4400994154</v>
      </c>
      <c r="X14" s="129">
        <f t="shared" si="51"/>
        <v>6.7699074063018311E-2</v>
      </c>
      <c r="Y14" s="129">
        <f t="shared" si="52"/>
        <v>2.6391260462420345E-2</v>
      </c>
      <c r="Z14" s="130">
        <f t="shared" si="9"/>
        <v>132.82894314737001</v>
      </c>
      <c r="AA14" s="127">
        <f t="shared" si="10"/>
        <v>7.2903942154986134E-2</v>
      </c>
      <c r="AB14" s="126">
        <f t="shared" si="53"/>
        <v>9992898.7339713499</v>
      </c>
      <c r="AC14" s="127">
        <f t="shared" si="11"/>
        <v>0.13885460901980062</v>
      </c>
      <c r="AD14" s="127">
        <f t="shared" si="12"/>
        <v>7.2903942154986134E-2</v>
      </c>
      <c r="AE14" s="131">
        <f t="shared" si="13"/>
        <v>489.24042368813315</v>
      </c>
      <c r="AF14" s="120">
        <f t="shared" si="14"/>
        <v>4317998</v>
      </c>
      <c r="AG14" s="120">
        <f t="shared" si="15"/>
        <v>4996449.3669856749</v>
      </c>
      <c r="AH14" s="121">
        <f t="shared" si="16"/>
        <v>0.12942730450990031</v>
      </c>
      <c r="AI14" s="121">
        <f t="shared" si="17"/>
        <v>6.7954249325062097E-2</v>
      </c>
      <c r="AJ14" s="132">
        <f t="shared" si="18"/>
        <v>244.62021184406657</v>
      </c>
      <c r="AK14" s="123">
        <f t="shared" si="19"/>
        <v>15804885.418910019</v>
      </c>
      <c r="AL14" s="124">
        <f t="shared" si="20"/>
        <v>0.21961407233968178</v>
      </c>
      <c r="AM14" s="124">
        <f t="shared" si="21"/>
        <v>0.11530572689877348</v>
      </c>
      <c r="AN14" s="133">
        <f t="shared" si="22"/>
        <v>773.7883715766377</v>
      </c>
      <c r="AO14" s="213">
        <f t="shared" si="23"/>
        <v>8635996</v>
      </c>
      <c r="AP14" s="214">
        <f t="shared" si="24"/>
        <v>0.12000000000000001</v>
      </c>
      <c r="AQ14" s="214">
        <f t="shared" si="54"/>
        <v>6.3004556495138087E-2</v>
      </c>
      <c r="AR14" s="215">
        <f t="shared" si="55"/>
        <v>422.80808146745863</v>
      </c>
      <c r="AS14" s="233"/>
      <c r="AT14" s="2">
        <f t="shared" si="25"/>
        <v>87127907.823065519</v>
      </c>
      <c r="AU14" s="117">
        <v>20425.333333333336</v>
      </c>
      <c r="AV14" s="157"/>
      <c r="AW14" s="157"/>
      <c r="AX14" s="14" t="s">
        <v>3</v>
      </c>
      <c r="AY14" s="2">
        <v>477796928.12292886</v>
      </c>
      <c r="AZ14" s="31">
        <v>234399775.04964375</v>
      </c>
      <c r="BA14" s="24">
        <f t="shared" si="26"/>
        <v>0.45431180000906651</v>
      </c>
      <c r="BB14" s="24">
        <f t="shared" si="27"/>
        <v>0.42793849608558876</v>
      </c>
      <c r="BC14" s="24">
        <f t="shared" si="28"/>
        <v>0.39857766004929973</v>
      </c>
      <c r="BD14" s="24">
        <f t="shared" si="29"/>
        <v>0.36576688900347559</v>
      </c>
      <c r="BE14" s="24">
        <f t="shared" si="30"/>
        <v>0.32892710165382932</v>
      </c>
      <c r="BF14" s="24">
        <f t="shared" si="31"/>
        <v>0.28731341521231657</v>
      </c>
      <c r="BG14" s="24">
        <f t="shared" si="32"/>
        <v>0.23993487217755513</v>
      </c>
      <c r="BH14" s="24">
        <f t="shared" si="33"/>
        <v>0.18541666225116221</v>
      </c>
      <c r="BI14" s="24">
        <f t="shared" si="34"/>
        <v>0.12175708354237422</v>
      </c>
      <c r="BJ14" s="24">
        <f t="shared" si="35"/>
        <v>4.6109567083100933E-2</v>
      </c>
      <c r="BK14" s="24">
        <f t="shared" si="36"/>
        <v>0</v>
      </c>
      <c r="BL14" s="24" t="e">
        <f t="shared" si="37"/>
        <v>#DIV/0!</v>
      </c>
      <c r="BM14" s="24" t="e">
        <f t="shared" si="38"/>
        <v>#DIV/0!</v>
      </c>
      <c r="BN14" s="24" t="e">
        <f t="shared" si="39"/>
        <v>#DIV/0!</v>
      </c>
      <c r="BO14" s="24" t="e">
        <f t="shared" si="40"/>
        <v>#DIV/0!</v>
      </c>
      <c r="BP14" s="32" t="e">
        <f t="shared" si="41"/>
        <v>#DIV/0!</v>
      </c>
    </row>
    <row r="15" spans="1:68" ht="16" x14ac:dyDescent="0.2">
      <c r="A15" s="250"/>
      <c r="B15" s="14" t="s">
        <v>4</v>
      </c>
      <c r="C15" s="167">
        <v>172303331.96046519</v>
      </c>
      <c r="D15" s="167">
        <v>29092097.245957933</v>
      </c>
      <c r="E15" s="18">
        <v>36752500</v>
      </c>
      <c r="F15" s="4">
        <f t="shared" si="42"/>
        <v>106458734.71450725</v>
      </c>
      <c r="G15" s="1">
        <f t="shared" si="43"/>
        <v>0.38214349366770173</v>
      </c>
      <c r="H15" s="1">
        <f t="shared" si="44"/>
        <v>0.61785650633229827</v>
      </c>
      <c r="I15" s="29">
        <f t="shared" si="45"/>
        <v>0.03</v>
      </c>
      <c r="J15" s="2">
        <f t="shared" si="46"/>
        <v>1102575</v>
      </c>
      <c r="K15" s="16">
        <f t="shared" si="0"/>
        <v>0.13684620657485996</v>
      </c>
      <c r="L15" s="16">
        <f t="shared" si="1"/>
        <v>5.1054369798938876E-2</v>
      </c>
      <c r="M15" s="2">
        <f t="shared" si="47"/>
        <v>7034034.669501612</v>
      </c>
      <c r="N15" s="16">
        <f t="shared" si="2"/>
        <v>7.457732580362425E-2</v>
      </c>
      <c r="O15" s="2">
        <f t="shared" si="48"/>
        <v>3833350.652467269</v>
      </c>
      <c r="P15" s="2">
        <f t="shared" si="3"/>
        <v>11969960.321968881</v>
      </c>
      <c r="Q15" s="134">
        <f t="shared" si="49"/>
        <v>0.32569105018621541</v>
      </c>
      <c r="R15" s="134">
        <f t="shared" si="4"/>
        <v>8.7327743244676057E-2</v>
      </c>
      <c r="S15" s="135">
        <f t="shared" si="5"/>
        <v>2000.661929127341</v>
      </c>
      <c r="T15" s="130">
        <f t="shared" si="6"/>
        <v>1102575</v>
      </c>
      <c r="U15" s="129">
        <f t="shared" si="7"/>
        <v>6.1300374032145589E-2</v>
      </c>
      <c r="V15" s="130">
        <f t="shared" si="8"/>
        <v>2252941.9966164306</v>
      </c>
      <c r="W15" s="130">
        <f t="shared" si="50"/>
        <v>1018788.3320742296</v>
      </c>
      <c r="X15" s="129">
        <f t="shared" si="51"/>
        <v>5.7720245754009379E-2</v>
      </c>
      <c r="Y15" s="129">
        <f t="shared" si="52"/>
        <v>9.9101955774810891E-3</v>
      </c>
      <c r="Z15" s="130">
        <f t="shared" si="9"/>
        <v>170.28051680999994</v>
      </c>
      <c r="AA15" s="127">
        <f t="shared" si="10"/>
        <v>5.1054369798938876E-2</v>
      </c>
      <c r="AB15" s="126">
        <f t="shared" si="53"/>
        <v>6997991.223066235</v>
      </c>
      <c r="AC15" s="127">
        <f t="shared" si="11"/>
        <v>0.19040857691493734</v>
      </c>
      <c r="AD15" s="127">
        <f t="shared" si="12"/>
        <v>5.1054369798938876E-2</v>
      </c>
      <c r="AE15" s="131">
        <f t="shared" si="13"/>
        <v>1169.6458671345872</v>
      </c>
      <c r="AF15" s="120">
        <f t="shared" si="14"/>
        <v>2205150</v>
      </c>
      <c r="AG15" s="120">
        <f t="shared" si="15"/>
        <v>3498995.6115331175</v>
      </c>
      <c r="AH15" s="121">
        <f t="shared" si="16"/>
        <v>0.15520428845746867</v>
      </c>
      <c r="AI15" s="121">
        <f t="shared" si="17"/>
        <v>4.1615022104958384E-2</v>
      </c>
      <c r="AJ15" s="132">
        <f t="shared" si="18"/>
        <v>584.8229335672936</v>
      </c>
      <c r="AK15" s="123">
        <f t="shared" si="19"/>
        <v>4629575.8271430237</v>
      </c>
      <c r="AL15" s="124">
        <f t="shared" si="20"/>
        <v>0.12596628330434728</v>
      </c>
      <c r="AM15" s="124">
        <f t="shared" si="21"/>
        <v>3.3775417653013985E-2</v>
      </c>
      <c r="AN15" s="133">
        <f t="shared" si="22"/>
        <v>773.78837157663781</v>
      </c>
      <c r="AO15" s="213">
        <f t="shared" si="23"/>
        <v>4410300</v>
      </c>
      <c r="AP15" s="214">
        <f t="shared" si="24"/>
        <v>0.12</v>
      </c>
      <c r="AQ15" s="214">
        <f t="shared" si="54"/>
        <v>3.2175674410977899E-2</v>
      </c>
      <c r="AR15" s="215">
        <f t="shared" si="55"/>
        <v>737.13855925121175</v>
      </c>
      <c r="AS15" s="233"/>
      <c r="AT15" s="2">
        <f t="shared" si="25"/>
        <v>48722460.321968883</v>
      </c>
      <c r="AU15" s="117">
        <v>5983</v>
      </c>
      <c r="AV15" s="157"/>
      <c r="AW15" s="157"/>
      <c r="AX15" s="14" t="s">
        <v>4</v>
      </c>
      <c r="AY15" s="2">
        <v>164227660.88237971</v>
      </c>
      <c r="AZ15" s="31">
        <v>96491379.044015497</v>
      </c>
      <c r="BA15" s="24">
        <f t="shared" si="26"/>
        <v>0.61785650633229827</v>
      </c>
      <c r="BB15" s="24">
        <f t="shared" si="27"/>
        <v>0.55662228981515638</v>
      </c>
      <c r="BC15" s="24">
        <f t="shared" si="28"/>
        <v>0.49098117360532001</v>
      </c>
      <c r="BD15" s="24">
        <f t="shared" si="29"/>
        <v>0.42095312000785534</v>
      </c>
      <c r="BE15" s="24">
        <f t="shared" si="30"/>
        <v>0.34678327723498042</v>
      </c>
      <c r="BF15" s="24">
        <f t="shared" si="31"/>
        <v>0.26912536661891617</v>
      </c>
      <c r="BG15" s="24">
        <f t="shared" si="32"/>
        <v>0.18940504978046882</v>
      </c>
      <c r="BH15" s="24">
        <f t="shared" si="33"/>
        <v>0.11061054113556161</v>
      </c>
      <c r="BI15" s="24">
        <f t="shared" si="34"/>
        <v>3.926431913537843E-2</v>
      </c>
      <c r="BJ15" s="24">
        <f t="shared" si="35"/>
        <v>0</v>
      </c>
      <c r="BK15" s="24">
        <f t="shared" si="36"/>
        <v>0</v>
      </c>
      <c r="BL15" s="24" t="e">
        <f t="shared" si="37"/>
        <v>#DIV/0!</v>
      </c>
      <c r="BM15" s="24" t="e">
        <f t="shared" si="38"/>
        <v>#DIV/0!</v>
      </c>
      <c r="BN15" s="24" t="e">
        <f t="shared" si="39"/>
        <v>#DIV/0!</v>
      </c>
      <c r="BO15" s="24" t="e">
        <f t="shared" si="40"/>
        <v>#DIV/0!</v>
      </c>
      <c r="BP15" s="32" t="e">
        <f t="shared" si="41"/>
        <v>#DIV/0!</v>
      </c>
    </row>
    <row r="16" spans="1:68" ht="16" x14ac:dyDescent="0.2">
      <c r="A16" s="250"/>
      <c r="B16" s="14" t="s">
        <v>5</v>
      </c>
      <c r="C16" s="167">
        <v>408090459.06801617</v>
      </c>
      <c r="D16" s="167">
        <v>129833875.17780404</v>
      </c>
      <c r="E16" s="18">
        <v>90757866.666666672</v>
      </c>
      <c r="F16" s="4">
        <f t="shared" si="42"/>
        <v>187498717.22354543</v>
      </c>
      <c r="G16" s="1">
        <f t="shared" si="43"/>
        <v>0.5405461875983355</v>
      </c>
      <c r="H16" s="1">
        <f t="shared" si="44"/>
        <v>0.45945381240166444</v>
      </c>
      <c r="I16" s="29">
        <f t="shared" si="45"/>
        <v>0.03</v>
      </c>
      <c r="J16" s="2">
        <f t="shared" si="46"/>
        <v>2722736</v>
      </c>
      <c r="K16" s="16">
        <f t="shared" si="0"/>
        <v>0.10176231969581249</v>
      </c>
      <c r="L16" s="16">
        <f t="shared" si="1"/>
        <v>7.221696931218613E-2</v>
      </c>
      <c r="M16" s="2">
        <f t="shared" si="47"/>
        <v>5230687.0808120118</v>
      </c>
      <c r="N16" s="16">
        <f t="shared" si="2"/>
        <v>0.13134810365387953</v>
      </c>
      <c r="O16" s="2">
        <f t="shared" si="48"/>
        <v>6751426.5685491869</v>
      </c>
      <c r="P16" s="2">
        <f t="shared" si="3"/>
        <v>14704849.649361199</v>
      </c>
      <c r="Q16" s="134">
        <f t="shared" si="49"/>
        <v>0.16202286577943509</v>
      </c>
      <c r="R16" s="134">
        <f t="shared" si="4"/>
        <v>0.10728033344222124</v>
      </c>
      <c r="S16" s="135">
        <f t="shared" si="5"/>
        <v>927.39970038857211</v>
      </c>
      <c r="T16" s="130">
        <f t="shared" si="6"/>
        <v>2722736</v>
      </c>
      <c r="U16" s="129">
        <f t="shared" si="7"/>
        <v>8.2434477447003121E-2</v>
      </c>
      <c r="V16" s="130">
        <f t="shared" si="8"/>
        <v>7481577.3128714496</v>
      </c>
      <c r="W16" s="130">
        <f t="shared" si="50"/>
        <v>3383195.6984742521</v>
      </c>
      <c r="X16" s="129">
        <f t="shared" si="51"/>
        <v>6.7277161999631088E-2</v>
      </c>
      <c r="Y16" s="129">
        <f t="shared" si="52"/>
        <v>3.2909810598743386E-2</v>
      </c>
      <c r="Z16" s="130">
        <f t="shared" si="9"/>
        <v>213.37006171003102</v>
      </c>
      <c r="AA16" s="127">
        <f t="shared" si="10"/>
        <v>7.221696931218613E-2</v>
      </c>
      <c r="AB16" s="126">
        <f t="shared" si="53"/>
        <v>9898735.7868361343</v>
      </c>
      <c r="AC16" s="127">
        <f t="shared" si="11"/>
        <v>0.10906752384553038</v>
      </c>
      <c r="AD16" s="127">
        <f t="shared" si="12"/>
        <v>7.221696931218613E-2</v>
      </c>
      <c r="AE16" s="131">
        <f t="shared" si="13"/>
        <v>624.28959301438783</v>
      </c>
      <c r="AF16" s="120">
        <f t="shared" si="14"/>
        <v>5445472</v>
      </c>
      <c r="AG16" s="120">
        <f t="shared" si="15"/>
        <v>4949367.8934180671</v>
      </c>
      <c r="AH16" s="121">
        <f t="shared" si="16"/>
        <v>0.11453376192276518</v>
      </c>
      <c r="AI16" s="121">
        <f t="shared" si="17"/>
        <v>7.5836334028266519E-2</v>
      </c>
      <c r="AJ16" s="132">
        <f t="shared" si="18"/>
        <v>312.14479650719392</v>
      </c>
      <c r="AK16" s="123">
        <f t="shared" si="19"/>
        <v>12269188.419719167</v>
      </c>
      <c r="AL16" s="124">
        <f t="shared" si="20"/>
        <v>0.13518594993843508</v>
      </c>
      <c r="AM16" s="124">
        <f t="shared" si="21"/>
        <v>8.9510784273138855E-2</v>
      </c>
      <c r="AN16" s="133">
        <f t="shared" si="22"/>
        <v>773.7883715766377</v>
      </c>
      <c r="AO16" s="213">
        <f t="shared" si="23"/>
        <v>10890944</v>
      </c>
      <c r="AP16" s="214">
        <f t="shared" si="24"/>
        <v>0.12</v>
      </c>
      <c r="AQ16" s="214">
        <f t="shared" si="54"/>
        <v>7.9455698744346936E-2</v>
      </c>
      <c r="AR16" s="215">
        <f t="shared" si="55"/>
        <v>686.86579212916251</v>
      </c>
      <c r="AS16" s="233"/>
      <c r="AT16" s="2">
        <f t="shared" si="25"/>
        <v>105462716.31602786</v>
      </c>
      <c r="AU16" s="117">
        <v>15856</v>
      </c>
      <c r="AV16" s="157"/>
      <c r="AW16" s="157"/>
      <c r="AX16" s="14" t="s">
        <v>5</v>
      </c>
      <c r="AY16" s="2">
        <v>407962628.09385109</v>
      </c>
      <c r="AZ16" s="31">
        <v>187745917.65696079</v>
      </c>
      <c r="BA16" s="24">
        <f t="shared" si="26"/>
        <v>0.45945381240166444</v>
      </c>
      <c r="BB16" s="24">
        <f t="shared" si="27"/>
        <v>0.4309475834775901</v>
      </c>
      <c r="BC16" s="24">
        <f t="shared" si="28"/>
        <v>0.39931346749487667</v>
      </c>
      <c r="BD16" s="24">
        <f t="shared" si="29"/>
        <v>0.36410019144507777</v>
      </c>
      <c r="BE16" s="24">
        <f t="shared" si="30"/>
        <v>0.3247558477273772</v>
      </c>
      <c r="BF16" s="24">
        <f t="shared" si="31"/>
        <v>0.28059305825154779</v>
      </c>
      <c r="BG16" s="24">
        <f t="shared" si="32"/>
        <v>0.23073945168676535</v>
      </c>
      <c r="BH16" s="24">
        <f t="shared" si="33"/>
        <v>0.17407442176746502</v>
      </c>
      <c r="BI16" s="24">
        <f t="shared" si="34"/>
        <v>0.1092019276079412</v>
      </c>
      <c r="BJ16" s="24">
        <f t="shared" si="35"/>
        <v>3.5086268504999296E-2</v>
      </c>
      <c r="BK16" s="24">
        <f t="shared" si="36"/>
        <v>0</v>
      </c>
      <c r="BL16" s="24" t="e">
        <f t="shared" si="37"/>
        <v>#DIV/0!</v>
      </c>
      <c r="BM16" s="24" t="e">
        <f t="shared" si="38"/>
        <v>#DIV/0!</v>
      </c>
      <c r="BN16" s="24" t="e">
        <f t="shared" si="39"/>
        <v>#DIV/0!</v>
      </c>
      <c r="BO16" s="24" t="e">
        <f t="shared" si="40"/>
        <v>#DIV/0!</v>
      </c>
      <c r="BP16" s="32" t="e">
        <f t="shared" si="41"/>
        <v>#DIV/0!</v>
      </c>
    </row>
    <row r="17" spans="1:73" ht="16" x14ac:dyDescent="0.2">
      <c r="A17" s="250"/>
      <c r="B17" s="14" t="s">
        <v>6</v>
      </c>
      <c r="C17" s="167">
        <v>297596268.00091136</v>
      </c>
      <c r="D17" s="167">
        <v>133236355.64926811</v>
      </c>
      <c r="E17" s="18">
        <v>135660014.72931176</v>
      </c>
      <c r="F17" s="4">
        <f t="shared" si="42"/>
        <v>28699897.622331485</v>
      </c>
      <c r="G17" s="1">
        <f t="shared" si="43"/>
        <v>0.90356096259162899</v>
      </c>
      <c r="H17" s="1">
        <f t="shared" si="44"/>
        <v>9.6439037408370981E-2</v>
      </c>
      <c r="I17" s="29">
        <f t="shared" si="45"/>
        <v>0.03</v>
      </c>
      <c r="J17" s="2">
        <f t="shared" si="46"/>
        <v>4069800.4418793526</v>
      </c>
      <c r="K17" s="16">
        <f t="shared" si="0"/>
        <v>2.135984051282086E-2</v>
      </c>
      <c r="L17" s="16">
        <f t="shared" si="1"/>
        <v>0.12071574234403121</v>
      </c>
      <c r="M17" s="2">
        <f>$J$24*IF($J$24&lt;0,L17,K17)*0.5</f>
        <v>1097917.6000762356</v>
      </c>
      <c r="N17" s="16">
        <f t="shared" si="2"/>
        <v>2.010508222975908E-2</v>
      </c>
      <c r="O17" s="2">
        <f t="shared" si="48"/>
        <v>1033421.7438460322</v>
      </c>
      <c r="P17" s="2">
        <f t="shared" si="3"/>
        <v>6201139.7858016202</v>
      </c>
      <c r="Q17" s="134">
        <f t="shared" si="49"/>
        <v>4.5710888342265187E-2</v>
      </c>
      <c r="R17" s="134">
        <f t="shared" si="4"/>
        <v>4.5240880376598895E-2</v>
      </c>
      <c r="S17" s="135">
        <f t="shared" si="5"/>
        <v>558.61091665630306</v>
      </c>
      <c r="T17" s="130">
        <f t="shared" si="6"/>
        <v>4069800.4418793526</v>
      </c>
      <c r="U17" s="129">
        <f t="shared" si="7"/>
        <v>0.39273344025597923</v>
      </c>
      <c r="V17" s="130">
        <f t="shared" si="8"/>
        <v>53278224.289819427</v>
      </c>
      <c r="W17" s="130">
        <f t="shared" si="50"/>
        <v>24092601.292718954</v>
      </c>
      <c r="X17" s="129">
        <f t="shared" si="51"/>
        <v>0.2075954494829737</v>
      </c>
      <c r="Y17" s="129">
        <f t="shared" si="52"/>
        <v>0.23435917281758009</v>
      </c>
      <c r="Z17" s="130">
        <f t="shared" si="9"/>
        <v>2170.3090976235435</v>
      </c>
      <c r="AA17" s="127">
        <f t="shared" si="10"/>
        <v>0.12071574234403121</v>
      </c>
      <c r="AB17" s="126">
        <f t="shared" si="53"/>
        <v>16546432.925062044</v>
      </c>
      <c r="AC17" s="127">
        <f t="shared" si="11"/>
        <v>0.1219698594171455</v>
      </c>
      <c r="AD17" s="127">
        <f t="shared" si="12"/>
        <v>0.12071574234403121</v>
      </c>
      <c r="AE17" s="131">
        <f t="shared" si="13"/>
        <v>1490.5353504244702</v>
      </c>
      <c r="AF17" s="120">
        <f t="shared" si="14"/>
        <v>8139600.8837587051</v>
      </c>
      <c r="AG17" s="120">
        <f t="shared" si="15"/>
        <v>8273216.4625310218</v>
      </c>
      <c r="AH17" s="121">
        <f t="shared" si="16"/>
        <v>0.12098492970857275</v>
      </c>
      <c r="AI17" s="121">
        <f t="shared" si="17"/>
        <v>0.11974093986827845</v>
      </c>
      <c r="AJ17" s="132">
        <f t="shared" si="18"/>
        <v>745.26767521223508</v>
      </c>
      <c r="AK17" s="123">
        <f t="shared" si="19"/>
        <v>8589824.7128722556</v>
      </c>
      <c r="AL17" s="124">
        <f t="shared" si="20"/>
        <v>6.3318765886999945E-2</v>
      </c>
      <c r="AM17" s="124">
        <f t="shared" si="21"/>
        <v>6.2667710407171701E-2</v>
      </c>
      <c r="AN17" s="133">
        <f t="shared" si="22"/>
        <v>773.7883715766377</v>
      </c>
      <c r="AO17" s="213">
        <f t="shared" si="23"/>
        <v>16279201.76751741</v>
      </c>
      <c r="AP17" s="214">
        <f t="shared" si="24"/>
        <v>0.12</v>
      </c>
      <c r="AQ17" s="214">
        <f t="shared" si="54"/>
        <v>0.1187661373925257</v>
      </c>
      <c r="AR17" s="215">
        <f t="shared" si="55"/>
        <v>1466.4626400790389</v>
      </c>
      <c r="AS17" s="233"/>
      <c r="AT17" s="2">
        <f t="shared" si="25"/>
        <v>141861154.51511338</v>
      </c>
      <c r="AU17" s="117">
        <v>11101</v>
      </c>
      <c r="AV17" s="157"/>
      <c r="AW17" s="157"/>
      <c r="AX17" s="14" t="s">
        <v>6</v>
      </c>
      <c r="AY17" s="2">
        <v>295355339.6784091</v>
      </c>
      <c r="AZ17" s="31">
        <v>30753929.338460058</v>
      </c>
      <c r="BA17" s="24">
        <f t="shared" si="26"/>
        <v>9.6439037408370981E-2</v>
      </c>
      <c r="BB17" s="24">
        <f t="shared" si="27"/>
        <v>8.9485786573426568E-2</v>
      </c>
      <c r="BC17" s="24">
        <f t="shared" si="28"/>
        <v>8.1836035068294483E-2</v>
      </c>
      <c r="BD17" s="24">
        <f t="shared" si="29"/>
        <v>7.3410484491315028E-2</v>
      </c>
      <c r="BE17" s="24">
        <f t="shared" si="30"/>
        <v>6.4120688208958346E-2</v>
      </c>
      <c r="BF17" s="24">
        <f t="shared" si="31"/>
        <v>5.3870962723859293E-2</v>
      </c>
      <c r="BG17" s="24">
        <f t="shared" si="32"/>
        <v>4.2566845800328532E-2</v>
      </c>
      <c r="BH17" s="24">
        <f t="shared" si="33"/>
        <v>3.0144914752335179E-2</v>
      </c>
      <c r="BI17" s="24">
        <f t="shared" si="34"/>
        <v>1.6683223562288955E-2</v>
      </c>
      <c r="BJ17" s="24">
        <f t="shared" si="35"/>
        <v>2.9481446439189331E-3</v>
      </c>
      <c r="BK17" s="24">
        <f t="shared" si="36"/>
        <v>0</v>
      </c>
      <c r="BL17" s="24" t="e">
        <f t="shared" si="37"/>
        <v>#DIV/0!</v>
      </c>
      <c r="BM17" s="24" t="e">
        <f t="shared" si="38"/>
        <v>#DIV/0!</v>
      </c>
      <c r="BN17" s="24" t="e">
        <f t="shared" si="39"/>
        <v>#DIV/0!</v>
      </c>
      <c r="BO17" s="24" t="e">
        <f t="shared" si="40"/>
        <v>#DIV/0!</v>
      </c>
      <c r="BP17" s="32" t="e">
        <f t="shared" si="41"/>
        <v>#DIV/0!</v>
      </c>
    </row>
    <row r="18" spans="1:73" ht="16" x14ac:dyDescent="0.2">
      <c r="A18" s="250"/>
      <c r="B18" s="14" t="s">
        <v>7</v>
      </c>
      <c r="C18" s="167">
        <v>330335622.08196223</v>
      </c>
      <c r="D18" s="167">
        <v>137030770.18503949</v>
      </c>
      <c r="E18" s="18">
        <v>63543851.937354892</v>
      </c>
      <c r="F18" s="4">
        <f t="shared" si="42"/>
        <v>129760999.95956784</v>
      </c>
      <c r="G18" s="1">
        <f t="shared" si="43"/>
        <v>0.60718435649858016</v>
      </c>
      <c r="H18" s="1">
        <f t="shared" si="44"/>
        <v>0.3928156435014199</v>
      </c>
      <c r="I18" s="29">
        <f t="shared" si="45"/>
        <v>0.03</v>
      </c>
      <c r="J18" s="2">
        <f t="shared" si="46"/>
        <v>1906315.5581206467</v>
      </c>
      <c r="K18" s="16">
        <f t="shared" si="0"/>
        <v>8.7002937001558311E-2</v>
      </c>
      <c r="L18" s="16">
        <f t="shared" si="1"/>
        <v>8.111982851071442E-2</v>
      </c>
      <c r="M18" s="2">
        <f t="shared" si="47"/>
        <v>4472039.7483773073</v>
      </c>
      <c r="N18" s="16">
        <f t="shared" si="2"/>
        <v>9.0901215353915307E-2</v>
      </c>
      <c r="O18" s="2">
        <f t="shared" si="48"/>
        <v>4672415.2338815155</v>
      </c>
      <c r="P18" s="2">
        <f t="shared" si="3"/>
        <v>11050770.540379468</v>
      </c>
      <c r="Q18" s="134">
        <f t="shared" si="49"/>
        <v>0.17390778499348672</v>
      </c>
      <c r="R18" s="134">
        <f t="shared" si="4"/>
        <v>8.0621725256258298E-2</v>
      </c>
      <c r="S18" s="135">
        <f t="shared" si="5"/>
        <v>872.88866827641925</v>
      </c>
      <c r="T18" s="130">
        <f t="shared" si="6"/>
        <v>1906315.5581206467</v>
      </c>
      <c r="U18" s="129">
        <f t="shared" si="7"/>
        <v>9.6418855926311151E-2</v>
      </c>
      <c r="V18" s="130">
        <f t="shared" si="8"/>
        <v>6126825.5049506687</v>
      </c>
      <c r="W18" s="130">
        <f t="shared" si="50"/>
        <v>2770572.1436561458</v>
      </c>
      <c r="X18" s="129">
        <f t="shared" si="51"/>
        <v>7.3600947364467789E-2</v>
      </c>
      <c r="Y18" s="129">
        <f t="shared" si="52"/>
        <v>2.6950555812954587E-2</v>
      </c>
      <c r="Z18" s="130">
        <f t="shared" si="9"/>
        <v>218.84456111028007</v>
      </c>
      <c r="AA18" s="127">
        <f t="shared" si="10"/>
        <v>8.111982851071442E-2</v>
      </c>
      <c r="AB18" s="126">
        <f t="shared" si="53"/>
        <v>11119045.248628577</v>
      </c>
      <c r="AC18" s="127">
        <f t="shared" si="11"/>
        <v>0.17498223525370099</v>
      </c>
      <c r="AD18" s="127">
        <f t="shared" si="12"/>
        <v>8.111982851071442E-2</v>
      </c>
      <c r="AE18" s="131">
        <f t="shared" si="13"/>
        <v>878.28161521552738</v>
      </c>
      <c r="AF18" s="120">
        <f t="shared" si="14"/>
        <v>3812631.1162412935</v>
      </c>
      <c r="AG18" s="120">
        <f t="shared" si="15"/>
        <v>5559522.6243142886</v>
      </c>
      <c r="AH18" s="121">
        <f t="shared" si="16"/>
        <v>0.14749111762685049</v>
      </c>
      <c r="AI18" s="121">
        <f t="shared" si="17"/>
        <v>6.8375250501268622E-2</v>
      </c>
      <c r="AJ18" s="132">
        <f t="shared" si="18"/>
        <v>439.14080760776369</v>
      </c>
      <c r="AK18" s="123">
        <f t="shared" si="19"/>
        <v>9796160.784160234</v>
      </c>
      <c r="AL18" s="124">
        <f t="shared" si="20"/>
        <v>0.15416378588156476</v>
      </c>
      <c r="AM18" s="124">
        <f t="shared" si="21"/>
        <v>7.1468625687306886E-2</v>
      </c>
      <c r="AN18" s="133">
        <f t="shared" si="22"/>
        <v>773.78837157663781</v>
      </c>
      <c r="AO18" s="213">
        <f t="shared" si="23"/>
        <v>7625262.232482587</v>
      </c>
      <c r="AP18" s="214">
        <f t="shared" si="24"/>
        <v>0.12</v>
      </c>
      <c r="AQ18" s="214">
        <f t="shared" si="54"/>
        <v>5.5630672491822818E-2</v>
      </c>
      <c r="AR18" s="215">
        <f t="shared" si="55"/>
        <v>602.31139277113641</v>
      </c>
      <c r="AS18" s="233"/>
      <c r="AT18" s="2">
        <f t="shared" si="25"/>
        <v>74594622.477734357</v>
      </c>
      <c r="AU18" s="117">
        <v>12660</v>
      </c>
      <c r="AV18" s="157"/>
      <c r="AW18" s="157"/>
      <c r="AX18" s="14" t="s">
        <v>7</v>
      </c>
      <c r="AY18" s="2">
        <v>328852284.24685562</v>
      </c>
      <c r="AZ18" s="31">
        <v>133280715.93843317</v>
      </c>
      <c r="BA18" s="24">
        <f t="shared" si="26"/>
        <v>0.3928156435014199</v>
      </c>
      <c r="BB18" s="24">
        <f t="shared" si="27"/>
        <v>0.36593960882703003</v>
      </c>
      <c r="BC18" s="24">
        <f t="shared" si="28"/>
        <v>0.33627509131502742</v>
      </c>
      <c r="BD18" s="24">
        <f t="shared" si="29"/>
        <v>0.30347168313695955</v>
      </c>
      <c r="BE18" s="24">
        <f t="shared" si="30"/>
        <v>0.26712216316143633</v>
      </c>
      <c r="BF18" s="24">
        <f t="shared" si="31"/>
        <v>0.22675581085230725</v>
      </c>
      <c r="BG18" s="24">
        <f t="shared" si="32"/>
        <v>0.18184380942501022</v>
      </c>
      <c r="BH18" s="24">
        <f t="shared" si="33"/>
        <v>0.13185579222534621</v>
      </c>
      <c r="BI18" s="24">
        <f t="shared" si="34"/>
        <v>7.6540015466829828E-2</v>
      </c>
      <c r="BJ18" s="24">
        <f t="shared" si="35"/>
        <v>1.7576423280053564E-2</v>
      </c>
      <c r="BK18" s="24">
        <f t="shared" si="36"/>
        <v>0</v>
      </c>
      <c r="BL18" s="24" t="e">
        <f t="shared" si="37"/>
        <v>#DIV/0!</v>
      </c>
      <c r="BM18" s="24" t="e">
        <f t="shared" si="38"/>
        <v>#DIV/0!</v>
      </c>
      <c r="BN18" s="24" t="e">
        <f t="shared" si="39"/>
        <v>#DIV/0!</v>
      </c>
      <c r="BO18" s="24" t="e">
        <f t="shared" si="40"/>
        <v>#DIV/0!</v>
      </c>
      <c r="BP18" s="32" t="e">
        <f t="shared" si="41"/>
        <v>#DIV/0!</v>
      </c>
    </row>
    <row r="19" spans="1:73" ht="16" x14ac:dyDescent="0.2">
      <c r="A19" s="250"/>
      <c r="B19" s="14" t="s">
        <v>8</v>
      </c>
      <c r="C19" s="167">
        <v>930920593.64901423</v>
      </c>
      <c r="D19" s="167">
        <v>320898258.33352512</v>
      </c>
      <c r="E19" s="18">
        <v>252840398.47202086</v>
      </c>
      <c r="F19" s="4">
        <f t="shared" si="42"/>
        <v>357181936.84346825</v>
      </c>
      <c r="G19" s="1">
        <f t="shared" si="43"/>
        <v>0.61631320729151595</v>
      </c>
      <c r="H19" s="1">
        <f t="shared" si="44"/>
        <v>0.38368679270848405</v>
      </c>
      <c r="I19" s="29">
        <f t="shared" si="45"/>
        <v>0.03</v>
      </c>
      <c r="J19" s="2">
        <f t="shared" si="46"/>
        <v>7585211.954160626</v>
      </c>
      <c r="K19" s="16">
        <f t="shared" si="0"/>
        <v>8.4981029667739127E-2</v>
      </c>
      <c r="L19" s="16">
        <f t="shared" si="1"/>
        <v>8.2339442953835509E-2</v>
      </c>
      <c r="M19" s="2">
        <f t="shared" si="47"/>
        <v>4368111.6480625672</v>
      </c>
      <c r="N19" s="16">
        <f t="shared" si="2"/>
        <v>0.25021595218635378</v>
      </c>
      <c r="O19" s="2">
        <f t="shared" si="48"/>
        <v>12861355.287757792</v>
      </c>
      <c r="P19" s="2">
        <f t="shared" si="3"/>
        <v>24814678.889980987</v>
      </c>
      <c r="Q19" s="134">
        <f t="shared" si="49"/>
        <v>9.8143647296644182E-2</v>
      </c>
      <c r="R19" s="134">
        <f t="shared" si="4"/>
        <v>0.18103735087794356</v>
      </c>
      <c r="S19" s="135">
        <f t="shared" si="5"/>
        <v>751.36797947014429</v>
      </c>
      <c r="T19" s="130">
        <f t="shared" si="6"/>
        <v>7585211.954160626</v>
      </c>
      <c r="U19" s="129">
        <f t="shared" si="7"/>
        <v>9.871289722797677E-2</v>
      </c>
      <c r="V19" s="130">
        <f t="shared" si="8"/>
        <v>24958608.26944929</v>
      </c>
      <c r="W19" s="130">
        <f t="shared" si="50"/>
        <v>11286370.855492301</v>
      </c>
      <c r="X19" s="129">
        <f t="shared" si="51"/>
        <v>7.4638320947517586E-2</v>
      </c>
      <c r="Y19" s="129">
        <f t="shared" si="52"/>
        <v>0.10978742003276279</v>
      </c>
      <c r="Z19" s="130">
        <f t="shared" si="9"/>
        <v>341.74198678290742</v>
      </c>
      <c r="AA19" s="127">
        <f t="shared" si="10"/>
        <v>8.2339442953835509E-2</v>
      </c>
      <c r="AB19" s="126">
        <f t="shared" si="53"/>
        <v>11286217.053943146</v>
      </c>
      <c r="AC19" s="127">
        <f t="shared" si="11"/>
        <v>4.4637712652521672E-2</v>
      </c>
      <c r="AD19" s="127">
        <f t="shared" si="12"/>
        <v>8.2339442953835509E-2</v>
      </c>
      <c r="AE19" s="131">
        <f t="shared" si="13"/>
        <v>341.73732979904156</v>
      </c>
      <c r="AF19" s="120">
        <f t="shared" si="14"/>
        <v>15170423.908321252</v>
      </c>
      <c r="AG19" s="120">
        <f t="shared" si="15"/>
        <v>5643108.526971573</v>
      </c>
      <c r="AH19" s="121">
        <f t="shared" si="16"/>
        <v>8.2318856326260834E-2</v>
      </c>
      <c r="AI19" s="121">
        <f t="shared" si="17"/>
        <v>0.15184668684223515</v>
      </c>
      <c r="AJ19" s="132">
        <f t="shared" si="18"/>
        <v>170.86866489952078</v>
      </c>
      <c r="AK19" s="123">
        <f t="shared" si="19"/>
        <v>25555134.759690035</v>
      </c>
      <c r="AL19" s="124">
        <f t="shared" si="20"/>
        <v>0.1010721977742728</v>
      </c>
      <c r="AM19" s="124">
        <f t="shared" si="21"/>
        <v>0.18643940220766167</v>
      </c>
      <c r="AN19" s="133">
        <f t="shared" si="22"/>
        <v>773.7883715766377</v>
      </c>
      <c r="AO19" s="213">
        <f t="shared" si="23"/>
        <v>30340847.816642504</v>
      </c>
      <c r="AP19" s="214">
        <f t="shared" si="24"/>
        <v>0.12</v>
      </c>
      <c r="AQ19" s="214">
        <f t="shared" si="54"/>
        <v>0.22135393073063483</v>
      </c>
      <c r="AR19" s="215">
        <f t="shared" si="55"/>
        <v>918.69580986624192</v>
      </c>
      <c r="AS19" s="233"/>
      <c r="AT19" s="2">
        <f t="shared" si="25"/>
        <v>277655077.36200184</v>
      </c>
      <c r="AU19" s="117">
        <v>33026</v>
      </c>
      <c r="AV19" s="157"/>
      <c r="AW19" s="157"/>
      <c r="AX19" s="14" t="s">
        <v>8</v>
      </c>
      <c r="AY19" s="2">
        <v>910487338.83586597</v>
      </c>
      <c r="AZ19" s="31">
        <v>321724913.92231131</v>
      </c>
      <c r="BA19" s="24">
        <f t="shared" si="26"/>
        <v>0.38368679270848405</v>
      </c>
      <c r="BB19" s="24">
        <f t="shared" si="27"/>
        <v>0.36571787257083993</v>
      </c>
      <c r="BC19" s="24">
        <f t="shared" si="28"/>
        <v>0.34555450213343131</v>
      </c>
      <c r="BD19" s="24">
        <f t="shared" si="29"/>
        <v>0.32280323098523922</v>
      </c>
      <c r="BE19" s="24">
        <f t="shared" si="30"/>
        <v>0.29694823433914247</v>
      </c>
      <c r="BF19" s="24">
        <f t="shared" si="31"/>
        <v>0.26728556511235751</v>
      </c>
      <c r="BG19" s="24">
        <f t="shared" si="32"/>
        <v>0.23280073062528095</v>
      </c>
      <c r="BH19" s="24">
        <f t="shared" si="33"/>
        <v>0.19191319114161351</v>
      </c>
      <c r="BI19" s="24">
        <f t="shared" si="34"/>
        <v>0.14184408064372794</v>
      </c>
      <c r="BJ19" s="24">
        <f t="shared" si="35"/>
        <v>7.6595937846251308E-2</v>
      </c>
      <c r="BK19" s="24">
        <f t="shared" si="36"/>
        <v>0</v>
      </c>
      <c r="BL19" s="24" t="e">
        <f t="shared" si="37"/>
        <v>#DIV/0!</v>
      </c>
      <c r="BM19" s="24" t="e">
        <f t="shared" si="38"/>
        <v>#DIV/0!</v>
      </c>
      <c r="BN19" s="24" t="e">
        <f t="shared" si="39"/>
        <v>#DIV/0!</v>
      </c>
      <c r="BO19" s="24" t="e">
        <f t="shared" si="40"/>
        <v>#DIV/0!</v>
      </c>
      <c r="BP19" s="32" t="e">
        <f t="shared" si="41"/>
        <v>#DIV/0!</v>
      </c>
    </row>
    <row r="20" spans="1:73" ht="16" x14ac:dyDescent="0.2">
      <c r="A20" s="250"/>
      <c r="B20" s="14" t="s">
        <v>9</v>
      </c>
      <c r="C20" s="167">
        <v>93716840.830371097</v>
      </c>
      <c r="D20" s="167">
        <v>40269965.151416294</v>
      </c>
      <c r="E20" s="18">
        <v>24934641.605156694</v>
      </c>
      <c r="F20" s="4">
        <f t="shared" si="42"/>
        <v>28512234.073798113</v>
      </c>
      <c r="G20" s="1">
        <f t="shared" si="43"/>
        <v>0.6957618948615043</v>
      </c>
      <c r="H20" s="1">
        <f t="shared" si="44"/>
        <v>0.30423810513849575</v>
      </c>
      <c r="I20" s="29">
        <f t="shared" si="45"/>
        <v>0.03</v>
      </c>
      <c r="J20" s="2">
        <f t="shared" si="46"/>
        <v>748039.24815470073</v>
      </c>
      <c r="K20" s="16">
        <f t="shared" si="0"/>
        <v>6.7384303890999031E-2</v>
      </c>
      <c r="L20" s="16">
        <f t="shared" si="1"/>
        <v>9.295378741462508E-2</v>
      </c>
      <c r="M20" s="2">
        <f t="shared" si="47"/>
        <v>3463621.9856794709</v>
      </c>
      <c r="N20" s="16">
        <f t="shared" si="2"/>
        <v>1.9973618657155391E-2</v>
      </c>
      <c r="O20" s="2">
        <f t="shared" si="48"/>
        <v>1026664.3820556267</v>
      </c>
      <c r="P20" s="2">
        <f t="shared" si="3"/>
        <v>5238325.6158897988</v>
      </c>
      <c r="Q20" s="134">
        <f t="shared" si="49"/>
        <v>0.21008225018187024</v>
      </c>
      <c r="R20" s="134">
        <f t="shared" si="4"/>
        <v>3.8216597391459856E-2</v>
      </c>
      <c r="S20" s="135">
        <f t="shared" si="5"/>
        <v>1330.6500294385601</v>
      </c>
      <c r="T20" s="130">
        <f t="shared" si="6"/>
        <v>748039.24815470073</v>
      </c>
      <c r="U20" s="129">
        <f t="shared" si="7"/>
        <v>0.12449076659586468</v>
      </c>
      <c r="V20" s="130">
        <f t="shared" si="8"/>
        <v>3104132.6482190988</v>
      </c>
      <c r="W20" s="130">
        <f t="shared" si="50"/>
        <v>1403699.7525749942</v>
      </c>
      <c r="X20" s="129">
        <f t="shared" si="51"/>
        <v>8.6295164566740648E-2</v>
      </c>
      <c r="Y20" s="129">
        <f t="shared" si="52"/>
        <v>1.3654395758300112E-2</v>
      </c>
      <c r="Z20" s="130">
        <f t="shared" si="9"/>
        <v>356.57063994284357</v>
      </c>
      <c r="AA20" s="127">
        <f t="shared" si="10"/>
        <v>9.295378741462508E-2</v>
      </c>
      <c r="AB20" s="126">
        <f t="shared" si="53"/>
        <v>12741118.753204763</v>
      </c>
      <c r="AC20" s="127">
        <f t="shared" si="11"/>
        <v>0.51098062506620479</v>
      </c>
      <c r="AD20" s="127">
        <f t="shared" si="12"/>
        <v>9.295378741462508E-2</v>
      </c>
      <c r="AE20" s="131">
        <f t="shared" si="13"/>
        <v>3236.52466211806</v>
      </c>
      <c r="AF20" s="120">
        <f t="shared" si="14"/>
        <v>1496078.4963094015</v>
      </c>
      <c r="AG20" s="120">
        <f t="shared" si="15"/>
        <v>6370559.3766023815</v>
      </c>
      <c r="AH20" s="121">
        <f t="shared" si="16"/>
        <v>0.31549031253310239</v>
      </c>
      <c r="AI20" s="121">
        <f t="shared" si="17"/>
        <v>5.7391646579116433E-2</v>
      </c>
      <c r="AJ20" s="132">
        <f t="shared" si="18"/>
        <v>1618.26233105903</v>
      </c>
      <c r="AK20" s="123">
        <f t="shared" si="19"/>
        <v>3046146.8894400308</v>
      </c>
      <c r="AL20" s="124">
        <f t="shared" si="20"/>
        <v>0.12216525658063046</v>
      </c>
      <c r="AM20" s="124">
        <f t="shared" si="21"/>
        <v>2.2223393084968256E-2</v>
      </c>
      <c r="AN20" s="133">
        <f t="shared" si="22"/>
        <v>773.7883715766377</v>
      </c>
      <c r="AO20" s="213">
        <f t="shared" si="23"/>
        <v>2992156.9926188029</v>
      </c>
      <c r="AP20" s="214">
        <f t="shared" si="24"/>
        <v>0.11999999999999998</v>
      </c>
      <c r="AQ20" s="214">
        <f t="shared" si="54"/>
        <v>2.1829505743607782E-2</v>
      </c>
      <c r="AR20" s="215">
        <f t="shared" si="55"/>
        <v>760.07374918343851</v>
      </c>
      <c r="AS20" s="233"/>
      <c r="AT20" s="2">
        <f t="shared" si="25"/>
        <v>30172967.221046492</v>
      </c>
      <c r="AU20" s="117">
        <v>3936.666666666667</v>
      </c>
      <c r="AV20" s="157"/>
      <c r="AW20" s="157"/>
      <c r="AX20" s="14" t="s">
        <v>9</v>
      </c>
      <c r="AY20" s="2">
        <v>92705416.600463837</v>
      </c>
      <c r="AZ20" s="31">
        <v>27802727.782648683</v>
      </c>
      <c r="BA20" s="24">
        <f t="shared" si="26"/>
        <v>0.30423810513849575</v>
      </c>
      <c r="BB20" s="24">
        <f t="shared" si="27"/>
        <v>0.25772030439669613</v>
      </c>
      <c r="BC20" s="24">
        <f t="shared" si="28"/>
        <v>0.21067521281526483</v>
      </c>
      <c r="BD20" s="24">
        <f t="shared" si="29"/>
        <v>0.16398001020457534</v>
      </c>
      <c r="BE20" s="24">
        <f t="shared" si="30"/>
        <v>0.11887192960390784</v>
      </c>
      <c r="BF20" s="24">
        <f t="shared" si="31"/>
        <v>7.707860563789308E-2</v>
      </c>
      <c r="BG20" s="24">
        <f t="shared" si="32"/>
        <v>4.0984848859932546E-2</v>
      </c>
      <c r="BH20" s="24">
        <f t="shared" si="33"/>
        <v>1.3797071014269786E-2</v>
      </c>
      <c r="BI20" s="24">
        <f t="shared" si="34"/>
        <v>0</v>
      </c>
      <c r="BJ20" s="24">
        <f t="shared" si="35"/>
        <v>0</v>
      </c>
      <c r="BK20" s="24">
        <f t="shared" si="36"/>
        <v>0</v>
      </c>
      <c r="BL20" s="24" t="e">
        <f t="shared" si="37"/>
        <v>#DIV/0!</v>
      </c>
      <c r="BM20" s="24" t="e">
        <f t="shared" si="38"/>
        <v>#DIV/0!</v>
      </c>
      <c r="BN20" s="24" t="e">
        <f t="shared" si="39"/>
        <v>#DIV/0!</v>
      </c>
      <c r="BO20" s="24" t="e">
        <f t="shared" si="40"/>
        <v>#DIV/0!</v>
      </c>
      <c r="BP20" s="32" t="e">
        <f t="shared" si="41"/>
        <v>#DIV/0!</v>
      </c>
    </row>
    <row r="21" spans="1:73" ht="16" x14ac:dyDescent="0.2">
      <c r="A21" s="250"/>
      <c r="B21" s="14" t="s">
        <v>10</v>
      </c>
      <c r="C21" s="167">
        <v>1248654233.7159247</v>
      </c>
      <c r="D21" s="167">
        <v>807017989.99858403</v>
      </c>
      <c r="E21" s="18">
        <v>308098926.5894891</v>
      </c>
      <c r="F21" s="4">
        <f t="shared" si="42"/>
        <v>133537317.12785161</v>
      </c>
      <c r="G21" s="1">
        <f t="shared" si="43"/>
        <v>0.89305500792605164</v>
      </c>
      <c r="H21" s="1">
        <f t="shared" si="44"/>
        <v>0.10694499207394834</v>
      </c>
      <c r="I21" s="29">
        <f t="shared" si="45"/>
        <v>0.03</v>
      </c>
      <c r="J21" s="2">
        <f t="shared" si="46"/>
        <v>9242967.7976846732</v>
      </c>
      <c r="K21" s="16">
        <f t="shared" si="0"/>
        <v>2.3686756273514468E-2</v>
      </c>
      <c r="L21" s="16">
        <f t="shared" si="1"/>
        <v>0.11931214682696691</v>
      </c>
      <c r="M21" s="2">
        <f>$J$24*IF($J$24&lt;0,L21,K21)*0.5</f>
        <v>1217523.4447934208</v>
      </c>
      <c r="N21" s="16">
        <f t="shared" si="2"/>
        <v>9.3546631312992456E-2</v>
      </c>
      <c r="O21" s="2">
        <f>N21*$J$24*0.5</f>
        <v>4808392.3138250671</v>
      </c>
      <c r="P21" s="2">
        <f t="shared" si="3"/>
        <v>15268883.556303162</v>
      </c>
      <c r="Q21" s="134">
        <f t="shared" si="49"/>
        <v>4.955837959360182E-2</v>
      </c>
      <c r="R21" s="134">
        <f t="shared" si="4"/>
        <v>0.11139528511138579</v>
      </c>
      <c r="S21" s="135">
        <f t="shared" si="5"/>
        <v>284.65657050385278</v>
      </c>
      <c r="T21" s="130">
        <f t="shared" si="6"/>
        <v>9242967.7976846732</v>
      </c>
      <c r="U21" s="129">
        <f t="shared" si="7"/>
        <v>0.35415248719805059</v>
      </c>
      <c r="V21" s="130">
        <f t="shared" si="8"/>
        <v>109114001.15471716</v>
      </c>
      <c r="W21" s="130">
        <f t="shared" si="50"/>
        <v>49341736.897492722</v>
      </c>
      <c r="X21" s="129">
        <f t="shared" si="51"/>
        <v>0.19014900617695313</v>
      </c>
      <c r="Y21" s="129">
        <f t="shared" si="52"/>
        <v>0.47996845604935723</v>
      </c>
      <c r="Z21" s="130">
        <f t="shared" si="9"/>
        <v>919.8740403089638</v>
      </c>
      <c r="AA21" s="127">
        <f t="shared" si="10"/>
        <v>0.11931214682696691</v>
      </c>
      <c r="AB21" s="126">
        <f t="shared" si="53"/>
        <v>16354042.946538495</v>
      </c>
      <c r="AC21" s="127">
        <f t="shared" si="11"/>
        <v>5.3080493098661835E-2</v>
      </c>
      <c r="AD21" s="127">
        <f t="shared" si="12"/>
        <v>0.11931214682696691</v>
      </c>
      <c r="AE21" s="131">
        <f t="shared" si="13"/>
        <v>304.88710991005092</v>
      </c>
      <c r="AF21" s="120">
        <f t="shared" si="14"/>
        <v>18485935.595369346</v>
      </c>
      <c r="AG21" s="120">
        <f t="shared" si="15"/>
        <v>8177021.4732692474</v>
      </c>
      <c r="AH21" s="121">
        <f t="shared" si="16"/>
        <v>8.6540246549330915E-2</v>
      </c>
      <c r="AI21" s="121">
        <f t="shared" si="17"/>
        <v>0.19452160294637483</v>
      </c>
      <c r="AJ21" s="132">
        <f t="shared" si="18"/>
        <v>152.44355495502546</v>
      </c>
      <c r="AK21" s="123">
        <f t="shared" si="19"/>
        <v>41505750.32191366</v>
      </c>
      <c r="AL21" s="124">
        <f t="shared" si="20"/>
        <v>0.1347156602632891</v>
      </c>
      <c r="AM21" s="124">
        <f t="shared" si="21"/>
        <v>0.30280831429635957</v>
      </c>
      <c r="AN21" s="133">
        <f t="shared" si="22"/>
        <v>773.7883715766377</v>
      </c>
      <c r="AO21" s="213">
        <f t="shared" si="23"/>
        <v>36971871.190738693</v>
      </c>
      <c r="AP21" s="214">
        <f t="shared" si="24"/>
        <v>0.12</v>
      </c>
      <c r="AQ21" s="214">
        <f t="shared" si="54"/>
        <v>0.26973105906578282</v>
      </c>
      <c r="AR21" s="215">
        <f t="shared" si="55"/>
        <v>689.26362686951859</v>
      </c>
      <c r="AS21" s="233"/>
      <c r="AT21" s="2">
        <f t="shared" si="25"/>
        <v>323367810.14579225</v>
      </c>
      <c r="AU21" s="117">
        <v>53639.666666666672</v>
      </c>
      <c r="AV21" s="157"/>
      <c r="AW21" s="157"/>
      <c r="AX21" s="14" t="s">
        <v>10</v>
      </c>
      <c r="AY21" s="2">
        <v>1243404655.6066542</v>
      </c>
      <c r="AZ21" s="31">
        <v>110876434.4409368</v>
      </c>
      <c r="BA21" s="24">
        <f t="shared" si="26"/>
        <v>0.10694499207394834</v>
      </c>
      <c r="BB21" s="24">
        <f t="shared" si="27"/>
        <v>0.10225962482721769</v>
      </c>
      <c r="BC21" s="24">
        <f t="shared" si="28"/>
        <v>9.6992795228315012E-2</v>
      </c>
      <c r="BD21" s="24">
        <f t="shared" si="29"/>
        <v>9.1037257179126127E-2</v>
      </c>
      <c r="BE21" s="24">
        <f t="shared" si="30"/>
        <v>8.4251238679224363E-2</v>
      </c>
      <c r="BF21" s="24">
        <f t="shared" si="31"/>
        <v>7.6439258074305752E-2</v>
      </c>
      <c r="BG21" s="24">
        <f t="shared" si="32"/>
        <v>6.7315830817723535E-2</v>
      </c>
      <c r="BH21" s="24">
        <f t="shared" si="33"/>
        <v>5.6428131722187642E-2</v>
      </c>
      <c r="BI21" s="24">
        <f t="shared" si="34"/>
        <v>4.2959083724664782E-2</v>
      </c>
      <c r="BJ21" s="24">
        <f t="shared" si="35"/>
        <v>2.5064016867333835E-2</v>
      </c>
      <c r="BK21" s="24">
        <f t="shared" si="36"/>
        <v>0</v>
      </c>
      <c r="BL21" s="24" t="e">
        <f t="shared" si="37"/>
        <v>#DIV/0!</v>
      </c>
      <c r="BM21" s="24" t="e">
        <f t="shared" si="38"/>
        <v>#DIV/0!</v>
      </c>
      <c r="BN21" s="24" t="e">
        <f t="shared" si="39"/>
        <v>#DIV/0!</v>
      </c>
      <c r="BO21" s="24" t="e">
        <f t="shared" si="40"/>
        <v>#DIV/0!</v>
      </c>
      <c r="BP21" s="32" t="e">
        <f t="shared" si="41"/>
        <v>#DIV/0!</v>
      </c>
    </row>
    <row r="22" spans="1:73" ht="16" x14ac:dyDescent="0.2">
      <c r="A22" s="250"/>
      <c r="B22" s="14" t="s">
        <v>11</v>
      </c>
      <c r="C22" s="167">
        <v>199054804.09147874</v>
      </c>
      <c r="D22" s="167">
        <v>70099409.447837114</v>
      </c>
      <c r="E22" s="18">
        <v>51250933.333333336</v>
      </c>
      <c r="F22" s="4">
        <f t="shared" si="42"/>
        <v>77704461.310308278</v>
      </c>
      <c r="G22" s="1">
        <f t="shared" si="43"/>
        <v>0.60963282617083692</v>
      </c>
      <c r="H22" s="1">
        <f t="shared" si="44"/>
        <v>0.39036717382916308</v>
      </c>
      <c r="I22" s="29">
        <f t="shared" si="45"/>
        <v>0.03</v>
      </c>
      <c r="J22" s="2">
        <f t="shared" si="46"/>
        <v>1537528</v>
      </c>
      <c r="K22" s="16">
        <f t="shared" si="0"/>
        <v>8.6460636672715072E-2</v>
      </c>
      <c r="L22" s="16">
        <f t="shared" si="1"/>
        <v>8.1446944052808626E-2</v>
      </c>
      <c r="M22" s="2">
        <f t="shared" si="47"/>
        <v>4444164.9580572788</v>
      </c>
      <c r="N22" s="16">
        <f t="shared" si="2"/>
        <v>5.4434151815485415E-2</v>
      </c>
      <c r="O22" s="2">
        <f t="shared" si="48"/>
        <v>2797970.9533678782</v>
      </c>
      <c r="P22" s="2">
        <f t="shared" si="3"/>
        <v>8779663.9114251565</v>
      </c>
      <c r="Q22" s="134">
        <f t="shared" si="49"/>
        <v>0.17130739560044089</v>
      </c>
      <c r="R22" s="134">
        <f t="shared" si="4"/>
        <v>6.4052696517658311E-2</v>
      </c>
      <c r="S22" s="135">
        <f t="shared" si="5"/>
        <v>1188.1001278485935</v>
      </c>
      <c r="T22" s="130">
        <f t="shared" si="6"/>
        <v>1537528</v>
      </c>
      <c r="U22" s="129">
        <f t="shared" si="7"/>
        <v>9.7023616419499012E-2</v>
      </c>
      <c r="V22" s="130">
        <f t="shared" si="8"/>
        <v>4972550.8968746495</v>
      </c>
      <c r="W22" s="130">
        <f t="shared" si="50"/>
        <v>2248605.0870326222</v>
      </c>
      <c r="X22" s="129">
        <f t="shared" si="51"/>
        <v>7.3874422196524986E-2</v>
      </c>
      <c r="Y22" s="129">
        <f t="shared" si="52"/>
        <v>2.1873156069271253E-2</v>
      </c>
      <c r="Z22" s="130">
        <f t="shared" si="9"/>
        <v>304.29046240686841</v>
      </c>
      <c r="AA22" s="127">
        <f t="shared" si="10"/>
        <v>8.1446944052808626E-2</v>
      </c>
      <c r="AB22" s="126">
        <f t="shared" si="53"/>
        <v>11163882.775788719</v>
      </c>
      <c r="AC22" s="127">
        <f t="shared" si="11"/>
        <v>0.21782789209280193</v>
      </c>
      <c r="AD22" s="127">
        <f t="shared" si="12"/>
        <v>8.1446944052808626E-2</v>
      </c>
      <c r="AE22" s="131">
        <f t="shared" si="13"/>
        <v>1510.7424027861498</v>
      </c>
      <c r="AF22" s="120">
        <f t="shared" si="14"/>
        <v>3075056</v>
      </c>
      <c r="AG22" s="120">
        <f t="shared" si="15"/>
        <v>5581941.3878943594</v>
      </c>
      <c r="AH22" s="121">
        <f t="shared" si="16"/>
        <v>0.16891394604640095</v>
      </c>
      <c r="AI22" s="121">
        <f t="shared" si="17"/>
        <v>6.3157773695570588E-2</v>
      </c>
      <c r="AJ22" s="132">
        <f t="shared" si="18"/>
        <v>755.3712013930749</v>
      </c>
      <c r="AK22" s="123">
        <f t="shared" si="19"/>
        <v>5718038.1364941606</v>
      </c>
      <c r="AL22" s="124">
        <f t="shared" si="20"/>
        <v>0.11156944400025548</v>
      </c>
      <c r="AM22" s="124">
        <f t="shared" si="21"/>
        <v>4.171637606271475E-2</v>
      </c>
      <c r="AN22" s="133">
        <f t="shared" si="22"/>
        <v>773.7883715766377</v>
      </c>
      <c r="AO22" s="213">
        <f t="shared" si="23"/>
        <v>6150112</v>
      </c>
      <c r="AP22" s="214">
        <f t="shared" si="24"/>
        <v>0.12</v>
      </c>
      <c r="AQ22" s="214">
        <f t="shared" si="54"/>
        <v>4.4868603338332563E-2</v>
      </c>
      <c r="AR22" s="215">
        <f t="shared" si="55"/>
        <v>832.25837881726727</v>
      </c>
      <c r="AS22" s="233"/>
      <c r="AT22" s="2">
        <f t="shared" si="25"/>
        <v>60030597.244758494</v>
      </c>
      <c r="AU22" s="117">
        <v>7389.666666666667</v>
      </c>
      <c r="AV22" s="157"/>
      <c r="AW22" s="157"/>
      <c r="AX22" s="14" t="s">
        <v>11</v>
      </c>
      <c r="AY22" s="2">
        <v>195405555.48763829</v>
      </c>
      <c r="AZ22" s="31">
        <v>75892247.402372122</v>
      </c>
      <c r="BA22" s="24">
        <f t="shared" si="26"/>
        <v>0.39036717382916308</v>
      </c>
      <c r="BB22" s="24">
        <f t="shared" si="27"/>
        <v>0.3550442387907618</v>
      </c>
      <c r="BC22" s="24">
        <f t="shared" si="28"/>
        <v>0.31685148948775455</v>
      </c>
      <c r="BD22" s="24">
        <f t="shared" si="29"/>
        <v>0.27567188108635893</v>
      </c>
      <c r="BE22" s="24">
        <f t="shared" si="30"/>
        <v>0.23146884706764034</v>
      </c>
      <c r="BF22" s="24">
        <f t="shared" si="31"/>
        <v>0.184369432089142</v>
      </c>
      <c r="BG22" s="24">
        <f t="shared" si="32"/>
        <v>0.13483937780675095</v>
      </c>
      <c r="BH22" s="24">
        <f t="shared" si="33"/>
        <v>8.4090106725465852E-2</v>
      </c>
      <c r="BI22" s="24">
        <f t="shared" si="34"/>
        <v>3.5177174741065534E-2</v>
      </c>
      <c r="BJ22" s="24">
        <f t="shared" si="35"/>
        <v>0</v>
      </c>
      <c r="BK22" s="24">
        <f t="shared" si="36"/>
        <v>0</v>
      </c>
      <c r="BL22" s="24" t="e">
        <f t="shared" si="37"/>
        <v>#DIV/0!</v>
      </c>
      <c r="BM22" s="24" t="e">
        <f t="shared" si="38"/>
        <v>#DIV/0!</v>
      </c>
      <c r="BN22" s="24" t="e">
        <f t="shared" si="39"/>
        <v>#DIV/0!</v>
      </c>
      <c r="BO22" s="24" t="e">
        <f t="shared" si="40"/>
        <v>#DIV/0!</v>
      </c>
      <c r="BP22" s="32" t="e">
        <f t="shared" si="41"/>
        <v>#DIV/0!</v>
      </c>
    </row>
    <row r="23" spans="1:73" x14ac:dyDescent="0.2">
      <c r="A23" s="250"/>
      <c r="B23" s="15" t="s">
        <v>14</v>
      </c>
      <c r="C23" s="168">
        <v>4522775085.0292606</v>
      </c>
      <c r="D23" s="169">
        <v>1953035520.0310483</v>
      </c>
      <c r="E23" s="30">
        <f>SUM(E11:E22)</f>
        <v>1142244899.9999998</v>
      </c>
      <c r="F23" s="30">
        <f>SUM(F11:F22)</f>
        <v>1427494664.998214</v>
      </c>
      <c r="G23" s="1">
        <f>1-H23</f>
        <v>0.68437637553029496</v>
      </c>
      <c r="H23" s="11">
        <f t="shared" si="44"/>
        <v>0.3156236244697051</v>
      </c>
      <c r="J23" s="30">
        <f>SUM(J11:J22)</f>
        <v>34267347</v>
      </c>
      <c r="M23" s="30">
        <f>SUM(M11:M22)</f>
        <v>51401020.499999978</v>
      </c>
      <c r="N23" s="30"/>
      <c r="O23" s="30">
        <f>SUM(O11:O22)</f>
        <v>51401020.500000007</v>
      </c>
      <c r="P23" s="30">
        <f>SUM(P11:P22)</f>
        <v>137069388</v>
      </c>
      <c r="Q23" s="221">
        <f t="shared" si="49"/>
        <v>0.12000000000000002</v>
      </c>
      <c r="R23" s="221">
        <f t="shared" si="4"/>
        <v>1</v>
      </c>
      <c r="S23" s="222">
        <f t="shared" si="5"/>
        <v>773.7883715766377</v>
      </c>
      <c r="T23" s="224">
        <f t="shared" si="6"/>
        <v>34267347</v>
      </c>
      <c r="U23" s="223"/>
      <c r="V23" s="224">
        <f>SUM(V11:V22)</f>
        <v>227335775.46499532</v>
      </c>
      <c r="W23" s="224">
        <f>SUM(W11:W22)</f>
        <v>102802041</v>
      </c>
      <c r="X23" s="156">
        <f t="shared" si="51"/>
        <v>0.12000000000000002</v>
      </c>
      <c r="Y23" s="225">
        <f>SUM(Y11:Y22)</f>
        <v>0.99999999999999989</v>
      </c>
      <c r="Z23" s="226">
        <f t="shared" si="9"/>
        <v>580.34127868247822</v>
      </c>
      <c r="AA23" s="204"/>
      <c r="AB23" s="203">
        <f>SUM(AB11:AB22)</f>
        <v>137069388</v>
      </c>
      <c r="AC23" s="204">
        <f t="shared" si="11"/>
        <v>0.12000000000000002</v>
      </c>
      <c r="AD23" s="204">
        <f t="shared" si="12"/>
        <v>1</v>
      </c>
      <c r="AE23" s="205">
        <f t="shared" si="13"/>
        <v>773.7883715766377</v>
      </c>
      <c r="AF23" s="206">
        <f>SUM(AF11:AF22)</f>
        <v>68534694</v>
      </c>
      <c r="AG23" s="206">
        <f>SUM(AG11:AG22)</f>
        <v>68534694</v>
      </c>
      <c r="AH23" s="207">
        <f t="shared" si="16"/>
        <v>0.12000000000000002</v>
      </c>
      <c r="AI23" s="207">
        <f t="shared" si="17"/>
        <v>1</v>
      </c>
      <c r="AJ23" s="208">
        <f t="shared" si="18"/>
        <v>386.89418578831885</v>
      </c>
      <c r="AK23" s="209">
        <f t="shared" si="19"/>
        <v>137069388</v>
      </c>
      <c r="AL23" s="210">
        <f t="shared" si="20"/>
        <v>0.12000000000000002</v>
      </c>
      <c r="AM23" s="210">
        <f t="shared" si="21"/>
        <v>1</v>
      </c>
      <c r="AN23" s="211">
        <f t="shared" si="22"/>
        <v>773.7883715766377</v>
      </c>
      <c r="AO23" s="216">
        <f t="shared" si="23"/>
        <v>137069387.99999997</v>
      </c>
      <c r="AP23" s="217">
        <f t="shared" si="24"/>
        <v>0.12</v>
      </c>
      <c r="AQ23" s="217">
        <f t="shared" si="54"/>
        <v>1</v>
      </c>
      <c r="AR23" s="218">
        <f t="shared" si="55"/>
        <v>773.78837157663747</v>
      </c>
      <c r="AS23" s="219"/>
      <c r="AT23" s="3">
        <f>SUM(AT11:AT22)</f>
        <v>1279314288</v>
      </c>
      <c r="AU23" s="118">
        <v>177140.66666666669</v>
      </c>
      <c r="AV23" s="157"/>
      <c r="AW23" s="157"/>
      <c r="AX23" s="15" t="s">
        <v>14</v>
      </c>
      <c r="AY23" s="33">
        <f>SUM(AY11:AY22)</f>
        <v>4467075684.9250851</v>
      </c>
      <c r="AZ23" s="33">
        <f>SUM(AZ11:AZ22)</f>
        <v>1365370425.5038662</v>
      </c>
      <c r="BA23" s="25">
        <f t="shared" si="26"/>
        <v>0.3156236244697051</v>
      </c>
      <c r="BB23" s="25">
        <f t="shared" si="27"/>
        <v>0.29355579997706371</v>
      </c>
      <c r="BC23" s="25">
        <f t="shared" si="28"/>
        <v>0.26955971897535658</v>
      </c>
      <c r="BD23" s="25">
        <f t="shared" si="29"/>
        <v>0.2434668930317529</v>
      </c>
      <c r="BE23" s="25">
        <f t="shared" si="30"/>
        <v>0.215094111423174</v>
      </c>
      <c r="BF23" s="25">
        <f t="shared" si="31"/>
        <v>0.18424215472258335</v>
      </c>
      <c r="BG23" s="25">
        <f t="shared" si="32"/>
        <v>0.15069439598019355</v>
      </c>
      <c r="BH23" s="25">
        <f t="shared" si="33"/>
        <v>0.11421527967778915</v>
      </c>
      <c r="BI23" s="25">
        <f t="shared" si="34"/>
        <v>7.4548667776145466E-2</v>
      </c>
      <c r="BJ23" s="25">
        <f t="shared" si="35"/>
        <v>3.140528259737442E-2</v>
      </c>
      <c r="BK23" s="25">
        <f t="shared" si="36"/>
        <v>0</v>
      </c>
      <c r="BL23" s="25" t="e">
        <f t="shared" si="37"/>
        <v>#DIV/0!</v>
      </c>
      <c r="BM23" s="25" t="e">
        <f t="shared" si="38"/>
        <v>#DIV/0!</v>
      </c>
      <c r="BN23" s="34" t="e">
        <f t="shared" si="39"/>
        <v>#DIV/0!</v>
      </c>
      <c r="BO23" s="34" t="e">
        <f t="shared" si="40"/>
        <v>#DIV/0!</v>
      </c>
      <c r="BP23" s="58" t="e">
        <f t="shared" si="41"/>
        <v>#DIV/0!</v>
      </c>
    </row>
    <row r="24" spans="1:73" x14ac:dyDescent="0.2">
      <c r="A24" s="250"/>
      <c r="G24" s="21">
        <f>SUM(G11:G22)</f>
        <v>7.4850300801410397</v>
      </c>
      <c r="H24" s="21">
        <f>SUM(H11:H22)</f>
        <v>4.5149699198589603</v>
      </c>
      <c r="I24" s="10" t="s">
        <v>30</v>
      </c>
      <c r="J24" s="17">
        <f>C6-SUM(J11:J22)</f>
        <v>102802041</v>
      </c>
      <c r="K24" s="134"/>
      <c r="Q24" s="20">
        <f>MIN(Q11:Q22)</f>
        <v>4.5710888342265187E-2</v>
      </c>
      <c r="R24" s="20">
        <f>MIN(R11:R22)</f>
        <v>3.8216597391459856E-2</v>
      </c>
      <c r="S24" s="135">
        <f>MIN(S11:S22)</f>
        <v>284.65657050385278</v>
      </c>
      <c r="T24" s="135"/>
      <c r="V24" s="17">
        <f>V23-C6+T23</f>
        <v>124533734.46499532</v>
      </c>
      <c r="W24" s="3"/>
      <c r="X24" s="20">
        <f>MIN(X11:X22)</f>
        <v>5.7720245754009379E-2</v>
      </c>
      <c r="Y24" s="20">
        <f>MIN(Y11:Y22)</f>
        <v>7.0634550055877271E-3</v>
      </c>
      <c r="Z24" s="135">
        <f>MIN(Z11:Z22)</f>
        <v>132.82894314737001</v>
      </c>
      <c r="AA24" s="135"/>
      <c r="AC24" s="20">
        <f>MIN(AC11:AC22)</f>
        <v>4.4637712652521672E-2</v>
      </c>
      <c r="AD24" s="20">
        <f>MIN(AD11:AD22)</f>
        <v>5.1054369798938876E-2</v>
      </c>
      <c r="AE24" s="135">
        <f>MIN(AE11:AE22)</f>
        <v>304.88710991005092</v>
      </c>
      <c r="AH24" s="20">
        <f>MIN(AH11:AH22)</f>
        <v>8.2318856326260834E-2</v>
      </c>
      <c r="AI24" s="20">
        <f>MIN(AI11:AI22)</f>
        <v>3.9529404700854323E-2</v>
      </c>
      <c r="AJ24" s="135">
        <f>MIN(AJ11:AJ22)</f>
        <v>152.44355495502546</v>
      </c>
      <c r="AL24" s="20">
        <f>MIN(AL11:AL22)</f>
        <v>4.6350354306091232E-2</v>
      </c>
      <c r="AM24" s="20">
        <f>MIN(AM11:AM22)</f>
        <v>1.3354735031669744E-2</v>
      </c>
      <c r="AN24" s="135">
        <f>MIN(AN11:AN22)</f>
        <v>773.7883715766377</v>
      </c>
      <c r="AP24" s="20">
        <f>MIN(AP11:AP22)</f>
        <v>0.11999999999999998</v>
      </c>
      <c r="AQ24" s="20">
        <f>MIN(AQ11:AQ22)</f>
        <v>2.0982132057086298E-2</v>
      </c>
      <c r="AR24" s="135">
        <f>MIN(AR11:AR22)</f>
        <v>422.80808146745863</v>
      </c>
      <c r="AS24" s="135"/>
    </row>
    <row r="25" spans="1:73" x14ac:dyDescent="0.2">
      <c r="A25" s="36"/>
      <c r="Q25" s="20">
        <f>MAX(Q11:Q22)</f>
        <v>0.39717437667524064</v>
      </c>
      <c r="R25" s="20">
        <f>MAX(R11:R22)</f>
        <v>0.18103735087794356</v>
      </c>
      <c r="S25" s="135">
        <f>MAX(S11:S22)</f>
        <v>2529.4507448142131</v>
      </c>
      <c r="T25" s="135"/>
      <c r="X25" s="20">
        <f>MAX(X11:X22)</f>
        <v>0.2075954494829737</v>
      </c>
      <c r="Y25" s="20">
        <f>MAX(Y11:Y22)</f>
        <v>0.47996845604935723</v>
      </c>
      <c r="Z25" s="135">
        <f>MAX(Z11:Z22)</f>
        <v>2170.3090976235435</v>
      </c>
      <c r="AA25" s="135"/>
      <c r="AC25" s="20">
        <f>MAX(AC11:AC22)</f>
        <v>0.51098062506620479</v>
      </c>
      <c r="AD25" s="20">
        <f>MAX(AD11:AD22)</f>
        <v>0.12071574234403121</v>
      </c>
      <c r="AE25" s="135">
        <f>MAX(AE11:AE22)</f>
        <v>5129.8819645267549</v>
      </c>
      <c r="AH25" s="20">
        <f>MAX(AH11:AH22)</f>
        <v>0.31549031253310239</v>
      </c>
      <c r="AI25" s="20">
        <f>MAX(AI11:AI22)</f>
        <v>0.19452160294637483</v>
      </c>
      <c r="AJ25" s="135">
        <f>MAX(AJ11:AJ22)</f>
        <v>2564.9409822633775</v>
      </c>
      <c r="AL25" s="20">
        <f>MAX(AL11:AL22)</f>
        <v>0.21961407233968178</v>
      </c>
      <c r="AM25" s="20">
        <f>MAX(AM11:AM22)</f>
        <v>0.30280831429635957</v>
      </c>
      <c r="AN25" s="135">
        <f>MAX(AN11:AN22)</f>
        <v>773.78837157663781</v>
      </c>
      <c r="AP25" s="20">
        <f>MAX(AP11:AP22)</f>
        <v>0.12000000000000001</v>
      </c>
      <c r="AQ25" s="20">
        <f>MAX(AQ11:AQ22)</f>
        <v>0.26973105906578282</v>
      </c>
      <c r="AR25" s="135">
        <f>MAX(AR11:AR22)</f>
        <v>2003.3202761730311</v>
      </c>
      <c r="AS25" s="135"/>
    </row>
    <row r="27" spans="1:73" x14ac:dyDescent="0.2">
      <c r="A27" s="250">
        <v>1</v>
      </c>
      <c r="B27" t="s">
        <v>34</v>
      </c>
      <c r="C27" s="4">
        <f>AT23</f>
        <v>1279314288</v>
      </c>
      <c r="D27" s="4"/>
      <c r="K27" s="16"/>
    </row>
    <row r="28" spans="1:73" x14ac:dyDescent="0.2">
      <c r="A28" s="250"/>
      <c r="B28" t="s">
        <v>27</v>
      </c>
      <c r="C28" s="6">
        <f>C27*(1+C29)</f>
        <v>1432832002.5600002</v>
      </c>
      <c r="D28" s="6"/>
      <c r="K28" s="16"/>
    </row>
    <row r="29" spans="1:73" ht="19" x14ac:dyDescent="0.25">
      <c r="A29" s="250"/>
      <c r="B29" t="s">
        <v>28</v>
      </c>
      <c r="C29" s="20">
        <f>C4</f>
        <v>0.12</v>
      </c>
      <c r="D29" s="20"/>
      <c r="K29" s="16"/>
      <c r="BC29" s="12" t="s">
        <v>67</v>
      </c>
    </row>
    <row r="30" spans="1:73" ht="16" x14ac:dyDescent="0.2">
      <c r="A30" s="250"/>
      <c r="B30" t="s">
        <v>16</v>
      </c>
      <c r="C30" s="20">
        <f>C5</f>
        <v>0.03</v>
      </c>
      <c r="D30" s="20"/>
      <c r="K30" s="16"/>
      <c r="BC30" s="22" t="s">
        <v>12</v>
      </c>
      <c r="BD30" s="13" t="s">
        <v>15</v>
      </c>
      <c r="BE30" s="13" t="s">
        <v>13</v>
      </c>
      <c r="BF30" s="13" t="s">
        <v>37</v>
      </c>
      <c r="BG30" s="13" t="s">
        <v>35</v>
      </c>
      <c r="BH30" s="13" t="s">
        <v>36</v>
      </c>
      <c r="BI30" s="13" t="s">
        <v>38</v>
      </c>
      <c r="BJ30" s="13" t="s">
        <v>39</v>
      </c>
      <c r="BK30" s="13" t="s">
        <v>40</v>
      </c>
      <c r="BL30" s="13" t="s">
        <v>41</v>
      </c>
      <c r="BM30" s="13" t="s">
        <v>42</v>
      </c>
      <c r="BN30" s="13" t="s">
        <v>43</v>
      </c>
      <c r="BO30" s="13" t="s">
        <v>44</v>
      </c>
      <c r="BP30" s="13" t="s">
        <v>45</v>
      </c>
      <c r="BQ30" s="13" t="s">
        <v>46</v>
      </c>
      <c r="BR30" s="23" t="s">
        <v>47</v>
      </c>
      <c r="BS30" s="13" t="s">
        <v>75</v>
      </c>
      <c r="BT30" s="13" t="s">
        <v>76</v>
      </c>
      <c r="BU30" s="23" t="s">
        <v>77</v>
      </c>
    </row>
    <row r="31" spans="1:73" x14ac:dyDescent="0.2">
      <c r="A31" s="250"/>
      <c r="B31" t="s">
        <v>31</v>
      </c>
      <c r="C31" s="6">
        <f>C28-C27</f>
        <v>153517714.56000018</v>
      </c>
      <c r="D31" s="6"/>
      <c r="BC31" s="14" t="s">
        <v>0</v>
      </c>
      <c r="BD31" s="2">
        <v>74061017.606188729</v>
      </c>
      <c r="BE31" s="31">
        <v>20012870.843441181</v>
      </c>
      <c r="BF31" s="63">
        <f t="shared" ref="BF31:BF42" si="56">Q11</f>
        <v>0.15151550802328559</v>
      </c>
      <c r="BG31" s="63">
        <f t="shared" ref="BG31:BG42" si="57">AD36</f>
        <v>0.1371462281791262</v>
      </c>
      <c r="BH31" s="63">
        <f t="shared" ref="BH31:BH42" si="58">AD61</f>
        <v>0.12329197452119223</v>
      </c>
      <c r="BI31" s="63">
        <f t="shared" ref="BI31:BI42" si="59">AD86</f>
        <v>0.10928224525000545</v>
      </c>
      <c r="BJ31" s="63">
        <f t="shared" ref="BJ31:BJ42" si="60">AD111</f>
        <v>9.4474716585536272E-2</v>
      </c>
      <c r="BK31" s="63">
        <f t="shared" ref="BK31:BK42" si="61">AD136</f>
        <v>7.8248493989554843E-2</v>
      </c>
      <c r="BL31" s="63">
        <f t="shared" ref="BL31:BL42" si="62">AD161</f>
        <v>6.0171180918596717E-2</v>
      </c>
      <c r="BM31" s="63">
        <f t="shared" ref="BM31:BM42" si="63">AD186</f>
        <v>4.0841391346812014E-2</v>
      </c>
      <c r="BN31" s="63">
        <f t="shared" ref="BN31:BN42" si="64">AD211</f>
        <v>0.03</v>
      </c>
      <c r="BO31" s="63">
        <f t="shared" ref="BO31:BO42" si="65">AD236</f>
        <v>0.03</v>
      </c>
      <c r="BP31" s="63" t="e">
        <f t="shared" ref="BP31:BP42" si="66">AD261</f>
        <v>#DIV/0!</v>
      </c>
      <c r="BQ31" s="24" t="e">
        <f t="shared" ref="BQ31:BQ42" si="67">AD286</f>
        <v>#DIV/0!</v>
      </c>
      <c r="BR31" s="24" t="e">
        <f t="shared" ref="BR31:BR42" si="68">AD311</f>
        <v>#DIV/0!</v>
      </c>
      <c r="BS31" s="24" t="e">
        <f t="shared" ref="BS31:BS42" si="69">AD336</f>
        <v>#DIV/0!</v>
      </c>
      <c r="BT31" s="24" t="e">
        <f t="shared" ref="BT31:BT42" si="70">AD361</f>
        <v>#DIV/0!</v>
      </c>
      <c r="BU31" s="24" t="e">
        <f t="shared" ref="BU31:BU42" si="71">AD386</f>
        <v>#DIV/0!</v>
      </c>
    </row>
    <row r="32" spans="1:73" x14ac:dyDescent="0.2">
      <c r="A32" s="250"/>
      <c r="B32" t="s">
        <v>48</v>
      </c>
      <c r="C32" s="20">
        <f>((1+$C$5)^A27)-1</f>
        <v>3.0000000000000027E-2</v>
      </c>
      <c r="D32" s="20"/>
      <c r="F32" s="2"/>
      <c r="BC32" s="14" t="s">
        <v>1</v>
      </c>
      <c r="BD32" s="2">
        <v>164966421.92469403</v>
      </c>
      <c r="BE32" s="31">
        <v>66753996.300633356</v>
      </c>
      <c r="BF32" s="63">
        <f t="shared" si="56"/>
        <v>0.19490912002870353</v>
      </c>
      <c r="BG32" s="63">
        <f t="shared" si="57"/>
        <v>0.18214672025249753</v>
      </c>
      <c r="BH32" s="63">
        <f t="shared" si="58"/>
        <v>0.1711574764684666</v>
      </c>
      <c r="BI32" s="63">
        <f t="shared" si="59"/>
        <v>0.16117270517791674</v>
      </c>
      <c r="BJ32" s="63">
        <f t="shared" si="60"/>
        <v>0.15144569494863008</v>
      </c>
      <c r="BK32" s="63">
        <f t="shared" si="61"/>
        <v>0.1410401708696411</v>
      </c>
      <c r="BL32" s="63">
        <f t="shared" si="62"/>
        <v>0.1284280749444158</v>
      </c>
      <c r="BM32" s="63">
        <f t="shared" si="63"/>
        <v>0.11042361873913967</v>
      </c>
      <c r="BN32" s="63">
        <f t="shared" si="64"/>
        <v>7.822089524578843E-2</v>
      </c>
      <c r="BO32" s="63">
        <f t="shared" si="65"/>
        <v>0.03</v>
      </c>
      <c r="BP32" s="63" t="e">
        <f t="shared" si="66"/>
        <v>#DIV/0!</v>
      </c>
      <c r="BQ32" s="24" t="e">
        <f t="shared" si="67"/>
        <v>#DIV/0!</v>
      </c>
      <c r="BR32" s="24" t="e">
        <f t="shared" si="68"/>
        <v>#DIV/0!</v>
      </c>
      <c r="BS32" s="24" t="e">
        <f t="shared" si="69"/>
        <v>#DIV/0!</v>
      </c>
      <c r="BT32" s="24" t="e">
        <f t="shared" si="70"/>
        <v>#DIV/0!</v>
      </c>
      <c r="BU32" s="24" t="e">
        <f t="shared" si="71"/>
        <v>#DIV/0!</v>
      </c>
    </row>
    <row r="33" spans="1:73" ht="21" x14ac:dyDescent="0.25">
      <c r="A33" s="250"/>
      <c r="F33" s="6"/>
      <c r="G33" s="6"/>
      <c r="I33" s="251" t="s">
        <v>73</v>
      </c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107"/>
      <c r="AF33" s="107"/>
      <c r="AG33" s="107"/>
      <c r="AH33" s="107"/>
      <c r="AI33" s="107"/>
      <c r="AJ33" s="107"/>
      <c r="AK33" s="107"/>
      <c r="AL33" s="107"/>
      <c r="BC33" s="14" t="s">
        <v>2</v>
      </c>
      <c r="BD33" s="2">
        <v>111850437.83915582</v>
      </c>
      <c r="BE33" s="31">
        <v>59635517.784009442</v>
      </c>
      <c r="BF33" s="63">
        <f t="shared" si="56"/>
        <v>0.39717437667524064</v>
      </c>
      <c r="BG33" s="63">
        <f t="shared" si="57"/>
        <v>0.31080996926001025</v>
      </c>
      <c r="BH33" s="63">
        <f t="shared" si="58"/>
        <v>0.25605934542306552</v>
      </c>
      <c r="BI33" s="63">
        <f t="shared" si="59"/>
        <v>0.21649516355943252</v>
      </c>
      <c r="BJ33" s="63">
        <f t="shared" si="60"/>
        <v>0.18447718969705204</v>
      </c>
      <c r="BK33" s="63">
        <f t="shared" si="61"/>
        <v>0.15540943385809328</v>
      </c>
      <c r="BL33" s="63">
        <f t="shared" si="62"/>
        <v>0.12549055062281766</v>
      </c>
      <c r="BM33" s="63">
        <f t="shared" si="63"/>
        <v>9.0275859301753483E-2</v>
      </c>
      <c r="BN33" s="63">
        <f t="shared" si="64"/>
        <v>4.3744586412886768E-2</v>
      </c>
      <c r="BO33" s="63">
        <f t="shared" si="65"/>
        <v>0.03</v>
      </c>
      <c r="BP33" s="63" t="e">
        <f t="shared" si="66"/>
        <v>#DIV/0!</v>
      </c>
      <c r="BQ33" s="24" t="e">
        <f t="shared" si="67"/>
        <v>#DIV/0!</v>
      </c>
      <c r="BR33" s="24" t="e">
        <f t="shared" si="68"/>
        <v>#DIV/0!</v>
      </c>
      <c r="BS33" s="24" t="e">
        <f t="shared" si="69"/>
        <v>#DIV/0!</v>
      </c>
      <c r="BT33" s="24" t="e">
        <f t="shared" si="70"/>
        <v>#DIV/0!</v>
      </c>
      <c r="BU33" s="24" t="e">
        <f t="shared" si="71"/>
        <v>#DIV/0!</v>
      </c>
    </row>
    <row r="34" spans="1:73" ht="15" customHeight="1" x14ac:dyDescent="0.2">
      <c r="A34" s="250" t="s">
        <v>51</v>
      </c>
      <c r="I34" s="255" t="s">
        <v>74</v>
      </c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115"/>
      <c r="AF34" s="115"/>
      <c r="AG34" s="115"/>
      <c r="AH34" s="115"/>
      <c r="AI34" s="115"/>
      <c r="AJ34" s="115"/>
      <c r="AK34" s="115"/>
      <c r="AL34" s="115"/>
      <c r="BC34" s="14" t="s">
        <v>3</v>
      </c>
      <c r="BD34" s="2">
        <v>477796928.12292886</v>
      </c>
      <c r="BE34" s="31">
        <v>234399775.04964375</v>
      </c>
      <c r="BF34" s="63">
        <f t="shared" si="56"/>
        <v>0.21067088715278051</v>
      </c>
      <c r="BG34" s="63">
        <f t="shared" si="57"/>
        <v>0.20112094931184984</v>
      </c>
      <c r="BH34" s="63">
        <f t="shared" si="58"/>
        <v>0.19398407800506867</v>
      </c>
      <c r="BI34" s="63">
        <f t="shared" si="59"/>
        <v>0.18883311379243822</v>
      </c>
      <c r="BJ34" s="63">
        <f t="shared" si="60"/>
        <v>0.18544489255774901</v>
      </c>
      <c r="BK34" s="63">
        <f t="shared" si="61"/>
        <v>0.18377219821999785</v>
      </c>
      <c r="BL34" s="63">
        <f t="shared" si="62"/>
        <v>0.18395960837098638</v>
      </c>
      <c r="BM34" s="63">
        <f t="shared" si="63"/>
        <v>0.18639732066521927</v>
      </c>
      <c r="BN34" s="63">
        <f t="shared" si="64"/>
        <v>0.19134937610704886</v>
      </c>
      <c r="BO34" s="63">
        <f t="shared" si="65"/>
        <v>0.18613428739689092</v>
      </c>
      <c r="BP34" s="63" t="e">
        <f t="shared" si="66"/>
        <v>#DIV/0!</v>
      </c>
      <c r="BQ34" s="24" t="e">
        <f t="shared" si="67"/>
        <v>#DIV/0!</v>
      </c>
      <c r="BR34" s="24" t="e">
        <f t="shared" si="68"/>
        <v>#DIV/0!</v>
      </c>
      <c r="BS34" s="24" t="e">
        <f t="shared" si="69"/>
        <v>#DIV/0!</v>
      </c>
      <c r="BT34" s="24" t="e">
        <f t="shared" si="70"/>
        <v>#DIV/0!</v>
      </c>
      <c r="BU34" s="24" t="e">
        <f t="shared" si="71"/>
        <v>#DIV/0!</v>
      </c>
    </row>
    <row r="35" spans="1:73" ht="49" thickBot="1" x14ac:dyDescent="0.25">
      <c r="A35" s="250"/>
      <c r="B35" s="22" t="s">
        <v>12</v>
      </c>
      <c r="C35" s="13" t="s">
        <v>15</v>
      </c>
      <c r="D35" s="13" t="s">
        <v>63</v>
      </c>
      <c r="E35" s="13" t="s">
        <v>29</v>
      </c>
      <c r="F35" s="13" t="s">
        <v>13</v>
      </c>
      <c r="G35" s="13" t="s">
        <v>50</v>
      </c>
      <c r="H35" s="13" t="s">
        <v>17</v>
      </c>
      <c r="I35" s="28" t="s">
        <v>20</v>
      </c>
      <c r="J35" s="28" t="s">
        <v>21</v>
      </c>
      <c r="K35" s="28"/>
      <c r="L35" s="28"/>
      <c r="M35" s="28"/>
      <c r="N35" s="28"/>
      <c r="O35" s="28" t="s">
        <v>22</v>
      </c>
      <c r="P35" s="28" t="s">
        <v>49</v>
      </c>
      <c r="Q35" s="28" t="s">
        <v>23</v>
      </c>
      <c r="R35" s="28"/>
      <c r="S35" s="28" t="s">
        <v>71</v>
      </c>
      <c r="T35" s="28"/>
      <c r="U35" s="28" t="s">
        <v>72</v>
      </c>
      <c r="V35" s="28"/>
      <c r="W35" s="28"/>
      <c r="X35" s="28"/>
      <c r="Y35" s="28"/>
      <c r="Z35" s="28"/>
      <c r="AA35" s="28"/>
      <c r="AB35" s="28" t="s">
        <v>24</v>
      </c>
      <c r="AC35" s="28"/>
      <c r="AD35" s="28" t="s">
        <v>25</v>
      </c>
      <c r="AE35" s="116"/>
      <c r="AF35" s="116"/>
      <c r="AG35" s="116"/>
      <c r="AH35" s="28" t="s">
        <v>25</v>
      </c>
      <c r="AI35" s="116"/>
      <c r="AJ35" s="116"/>
      <c r="AK35" s="116"/>
      <c r="AL35" s="116"/>
      <c r="AZ35" s="28" t="s">
        <v>32</v>
      </c>
      <c r="BA35" s="27"/>
      <c r="BB35" s="27"/>
      <c r="BC35" s="14" t="s">
        <v>4</v>
      </c>
      <c r="BD35" s="2">
        <v>164227660.88237971</v>
      </c>
      <c r="BE35" s="31">
        <v>96491379.044015497</v>
      </c>
      <c r="BF35" s="63">
        <f t="shared" si="56"/>
        <v>0.32569105018621541</v>
      </c>
      <c r="BG35" s="63">
        <f t="shared" si="57"/>
        <v>0.27627190630755177</v>
      </c>
      <c r="BH35" s="63">
        <f t="shared" si="58"/>
        <v>0.2420337455998951</v>
      </c>
      <c r="BI35" s="63">
        <f t="shared" si="59"/>
        <v>0.21623620670818289</v>
      </c>
      <c r="BJ35" s="63">
        <f t="shared" si="60"/>
        <v>0.19513599870248619</v>
      </c>
      <c r="BK35" s="63">
        <f t="shared" si="61"/>
        <v>0.17609823470367142</v>
      </c>
      <c r="BL35" s="63">
        <f t="shared" si="62"/>
        <v>0.15646359708715876</v>
      </c>
      <c r="BM35" s="63">
        <f t="shared" si="63"/>
        <v>0.13198723502346396</v>
      </c>
      <c r="BN35" s="63">
        <f t="shared" si="64"/>
        <v>9.187626150179537E-2</v>
      </c>
      <c r="BO35" s="63">
        <f t="shared" si="65"/>
        <v>0.03</v>
      </c>
      <c r="BP35" s="63" t="e">
        <f t="shared" si="66"/>
        <v>#DIV/0!</v>
      </c>
      <c r="BQ35" s="24" t="e">
        <f t="shared" si="67"/>
        <v>#DIV/0!</v>
      </c>
      <c r="BR35" s="24" t="e">
        <f t="shared" si="68"/>
        <v>#DIV/0!</v>
      </c>
      <c r="BS35" s="24" t="e">
        <f t="shared" si="69"/>
        <v>#DIV/0!</v>
      </c>
      <c r="BT35" s="24" t="e">
        <f t="shared" si="70"/>
        <v>#DIV/0!</v>
      </c>
      <c r="BU35" s="24" t="e">
        <f t="shared" si="71"/>
        <v>#DIV/0!</v>
      </c>
    </row>
    <row r="36" spans="1:73" ht="16" thickTop="1" x14ac:dyDescent="0.2">
      <c r="A36" s="250"/>
      <c r="B36" s="14" t="s">
        <v>0</v>
      </c>
      <c r="C36" s="2">
        <f t="shared" ref="C36:C47" si="72">VLOOKUP($B36,$B$10:$Q$23,2,FALSE)*(1+$C$32)</f>
        <v>81324853.179509819</v>
      </c>
      <c r="D36" s="2">
        <f t="shared" ref="D36:D47" si="73">VLOOKUP($B36,$B$10:$Q$23,3,FALSE)*(1+$C$32)</f>
        <v>13215581.129616413</v>
      </c>
      <c r="E36" s="2">
        <f t="shared" ref="E36:E47" si="74">AT11</f>
        <v>45477070.645315491</v>
      </c>
      <c r="F36" s="4">
        <f t="shared" ref="F36:F47" si="75">C36-E36-D36</f>
        <v>22632201.404577915</v>
      </c>
      <c r="G36" s="1">
        <f>1-H36</f>
        <v>0.72170621255692335</v>
      </c>
      <c r="H36" s="1">
        <f t="shared" ref="H36:H48" si="76">MAX(0,F36/C36)</f>
        <v>0.27829378744307659</v>
      </c>
      <c r="I36" s="29">
        <f>MIN($C$5,($C$4*0.5))*$C$8</f>
        <v>0.03</v>
      </c>
      <c r="J36" s="2">
        <f t="shared" ref="J36:J47" si="77">I36*E36</f>
        <v>1364312.1193594646</v>
      </c>
      <c r="K36" s="2"/>
      <c r="L36" s="2"/>
      <c r="M36" s="2"/>
      <c r="N36" s="2"/>
      <c r="O36" s="16">
        <f t="shared" ref="O36:O47" si="78">H36/$H$49</f>
        <v>6.8090925479951173E-2</v>
      </c>
      <c r="P36" s="16">
        <f t="shared" ref="P36:P47" si="79">G36/$G$49</f>
        <v>9.1206177661001878E-2</v>
      </c>
      <c r="Q36" s="2">
        <f>$J$49*IF($J$49&lt;0,P36,O36)*0.5</f>
        <v>3919936.2232340225</v>
      </c>
      <c r="R36" s="2"/>
      <c r="S36" s="16">
        <f t="shared" ref="S36:S47" si="80">MAX(F36,0)/$F$48</f>
        <v>1.6549844518428652E-2</v>
      </c>
      <c r="T36" s="16"/>
      <c r="U36" s="2">
        <f t="shared" ref="U36:U47" si="81">S36*$J$49*0.5</f>
        <v>952760.36504719302</v>
      </c>
      <c r="V36" s="2"/>
      <c r="W36" s="2"/>
      <c r="X36" s="2"/>
      <c r="Y36" s="2"/>
      <c r="Z36" s="2"/>
      <c r="AA36" s="2"/>
      <c r="AB36" s="2">
        <f t="shared" ref="AB36:AB47" si="82">J36+Q36+U36</f>
        <v>6237008.7076406805</v>
      </c>
      <c r="AC36" s="2"/>
      <c r="AD36" s="16">
        <f t="shared" ref="AD36:AD48" si="83">AB36/E36</f>
        <v>0.1371462281791262</v>
      </c>
      <c r="AE36" s="16"/>
      <c r="AF36" s="16"/>
      <c r="AG36" s="16"/>
      <c r="AH36" s="16">
        <f t="shared" ref="AH36:AH48" si="84">AG36/H36</f>
        <v>0</v>
      </c>
      <c r="AI36" s="16"/>
      <c r="AJ36" s="16"/>
      <c r="AK36" s="16"/>
      <c r="AL36" s="16"/>
      <c r="AZ36" s="2">
        <f t="shared" ref="AZ36:AZ47" si="85">AB36+E36</f>
        <v>51714079.352956168</v>
      </c>
      <c r="BA36" s="37"/>
      <c r="BB36" s="37"/>
      <c r="BC36" s="14" t="s">
        <v>5</v>
      </c>
      <c r="BD36" s="2">
        <v>407962628.09385109</v>
      </c>
      <c r="BE36" s="31">
        <v>187745917.65696079</v>
      </c>
      <c r="BF36" s="63">
        <f t="shared" si="56"/>
        <v>0.16202286577943509</v>
      </c>
      <c r="BG36" s="63">
        <f t="shared" si="57"/>
        <v>0.15986366053946408</v>
      </c>
      <c r="BH36" s="63">
        <f t="shared" si="58"/>
        <v>0.15837151067490818</v>
      </c>
      <c r="BI36" s="63">
        <f t="shared" si="59"/>
        <v>0.15753632046037386</v>
      </c>
      <c r="BJ36" s="63">
        <f t="shared" si="60"/>
        <v>0.15738276527559056</v>
      </c>
      <c r="BK36" s="63">
        <f t="shared" si="61"/>
        <v>0.1579708253960565</v>
      </c>
      <c r="BL36" s="63">
        <f t="shared" si="62"/>
        <v>0.15938058740649977</v>
      </c>
      <c r="BM36" s="63">
        <f t="shared" si="63"/>
        <v>0.16159088028757565</v>
      </c>
      <c r="BN36" s="63">
        <f t="shared" si="64"/>
        <v>0.16330891774694828</v>
      </c>
      <c r="BO36" s="63">
        <f t="shared" si="65"/>
        <v>0.14313032066476908</v>
      </c>
      <c r="BP36" s="63" t="e">
        <f t="shared" si="66"/>
        <v>#DIV/0!</v>
      </c>
      <c r="BQ36" s="24" t="e">
        <f t="shared" si="67"/>
        <v>#DIV/0!</v>
      </c>
      <c r="BR36" s="24" t="e">
        <f t="shared" si="68"/>
        <v>#DIV/0!</v>
      </c>
      <c r="BS36" s="24" t="e">
        <f t="shared" si="69"/>
        <v>#DIV/0!</v>
      </c>
      <c r="BT36" s="24" t="e">
        <f t="shared" si="70"/>
        <v>#DIV/0!</v>
      </c>
      <c r="BU36" s="24" t="e">
        <f t="shared" si="71"/>
        <v>#DIV/0!</v>
      </c>
    </row>
    <row r="37" spans="1:73" x14ac:dyDescent="0.2">
      <c r="A37" s="250"/>
      <c r="B37" s="14" t="s">
        <v>1</v>
      </c>
      <c r="C37" s="2">
        <f t="shared" si="72"/>
        <v>173392810.81022805</v>
      </c>
      <c r="D37" s="2">
        <f t="shared" si="73"/>
        <v>58682191.465010673</v>
      </c>
      <c r="E37" s="2">
        <f t="shared" si="74"/>
        <v>51356198.221233651</v>
      </c>
      <c r="F37" s="4">
        <f t="shared" si="75"/>
        <v>63354421.123983726</v>
      </c>
      <c r="G37" s="1">
        <f t="shared" ref="G37:G47" si="86">1-H37</f>
        <v>0.63461910082694972</v>
      </c>
      <c r="H37" s="1">
        <f t="shared" si="76"/>
        <v>0.36538089917305033</v>
      </c>
      <c r="I37" s="29">
        <f t="shared" ref="I37:I47" si="87">MIN($C$5,($C$4*0.5))*$C$8</f>
        <v>0.03</v>
      </c>
      <c r="J37" s="2">
        <f t="shared" si="77"/>
        <v>1540685.9466370095</v>
      </c>
      <c r="K37" s="2"/>
      <c r="L37" s="2"/>
      <c r="M37" s="2"/>
      <c r="N37" s="2"/>
      <c r="O37" s="16">
        <f t="shared" si="78"/>
        <v>8.9398774604261003E-2</v>
      </c>
      <c r="P37" s="16">
        <f t="shared" si="79"/>
        <v>8.0200476939254223E-2</v>
      </c>
      <c r="Q37" s="2">
        <f>$J$49*IF($J$49&lt;0,P37,O37)*0.5</f>
        <v>5146610.8356415275</v>
      </c>
      <c r="R37" s="2"/>
      <c r="S37" s="16">
        <f t="shared" si="80"/>
        <v>4.6328052689779291E-2</v>
      </c>
      <c r="T37" s="16"/>
      <c r="U37" s="2">
        <f t="shared" si="81"/>
        <v>2667066.2883563209</v>
      </c>
      <c r="V37" s="2"/>
      <c r="W37" s="2"/>
      <c r="X37" s="2"/>
      <c r="Y37" s="2"/>
      <c r="Z37" s="2"/>
      <c r="AA37" s="2"/>
      <c r="AB37" s="2">
        <f t="shared" si="82"/>
        <v>9354363.0706348568</v>
      </c>
      <c r="AC37" s="2"/>
      <c r="AD37" s="16">
        <f t="shared" si="83"/>
        <v>0.18214672025249753</v>
      </c>
      <c r="AE37" s="16"/>
      <c r="AF37" s="16"/>
      <c r="AG37" s="16"/>
      <c r="AH37" s="16">
        <f t="shared" si="84"/>
        <v>0</v>
      </c>
      <c r="AI37" s="16"/>
      <c r="AJ37" s="16"/>
      <c r="AK37" s="16"/>
      <c r="AL37" s="16"/>
      <c r="AZ37" s="2">
        <f t="shared" si="85"/>
        <v>60710561.291868508</v>
      </c>
      <c r="BC37" s="14" t="s">
        <v>6</v>
      </c>
      <c r="BD37" s="2">
        <v>295355339.6784091</v>
      </c>
      <c r="BE37" s="31">
        <v>30753929.338460058</v>
      </c>
      <c r="BF37" s="63">
        <f t="shared" si="56"/>
        <v>4.5710888342265187E-2</v>
      </c>
      <c r="BG37" s="63">
        <f t="shared" si="57"/>
        <v>4.7024946970223809E-2</v>
      </c>
      <c r="BH37" s="63">
        <f t="shared" si="58"/>
        <v>4.8446625258139336E-2</v>
      </c>
      <c r="BI37" s="63">
        <f t="shared" si="59"/>
        <v>4.9980931191231613E-2</v>
      </c>
      <c r="BJ37" s="63">
        <f t="shared" si="60"/>
        <v>5.1626068818088365E-2</v>
      </c>
      <c r="BK37" s="63">
        <f t="shared" si="61"/>
        <v>5.3360270588688613E-2</v>
      </c>
      <c r="BL37" s="63">
        <f t="shared" si="62"/>
        <v>5.5100977410796434E-2</v>
      </c>
      <c r="BM37" s="63">
        <f t="shared" si="63"/>
        <v>5.6554879905343802E-2</v>
      </c>
      <c r="BN37" s="63">
        <f t="shared" si="64"/>
        <v>5.6413201322243707E-2</v>
      </c>
      <c r="BO37" s="63">
        <f t="shared" si="65"/>
        <v>4.3814371332567638E-2</v>
      </c>
      <c r="BP37" s="63" t="e">
        <f t="shared" si="66"/>
        <v>#DIV/0!</v>
      </c>
      <c r="BQ37" s="24" t="e">
        <f t="shared" si="67"/>
        <v>#DIV/0!</v>
      </c>
      <c r="BR37" s="24" t="e">
        <f t="shared" si="68"/>
        <v>#DIV/0!</v>
      </c>
      <c r="BS37" s="24" t="e">
        <f t="shared" si="69"/>
        <v>#DIV/0!</v>
      </c>
      <c r="BT37" s="24" t="e">
        <f t="shared" si="70"/>
        <v>#DIV/0!</v>
      </c>
      <c r="BU37" s="24" t="e">
        <f t="shared" si="71"/>
        <v>#DIV/0!</v>
      </c>
    </row>
    <row r="38" spans="1:73" x14ac:dyDescent="0.2">
      <c r="A38" s="250"/>
      <c r="B38" s="14" t="s">
        <v>2</v>
      </c>
      <c r="C38" s="2">
        <f t="shared" si="72"/>
        <v>119639382.29450105</v>
      </c>
      <c r="D38" s="2">
        <f t="shared" si="73"/>
        <v>27322183.328400426</v>
      </c>
      <c r="E38" s="2">
        <f t="shared" si="74"/>
        <v>33485705.705941711</v>
      </c>
      <c r="F38" s="4">
        <f t="shared" si="75"/>
        <v>58831493.260158919</v>
      </c>
      <c r="G38" s="1">
        <f t="shared" si="86"/>
        <v>0.50825980432312068</v>
      </c>
      <c r="H38" s="1">
        <f t="shared" si="76"/>
        <v>0.49174019567687932</v>
      </c>
      <c r="I38" s="29">
        <f t="shared" si="87"/>
        <v>0.03</v>
      </c>
      <c r="J38" s="2">
        <f t="shared" si="77"/>
        <v>1004571.1711782513</v>
      </c>
      <c r="K38" s="2"/>
      <c r="L38" s="2"/>
      <c r="M38" s="2"/>
      <c r="N38" s="2"/>
      <c r="O38" s="16">
        <f t="shared" si="78"/>
        <v>0.12031545988492383</v>
      </c>
      <c r="P38" s="16">
        <f t="shared" si="79"/>
        <v>6.423172366329645E-2</v>
      </c>
      <c r="Q38" s="2">
        <f t="shared" ref="Q38:Q46" si="88">$J$49*IF($J$49&lt;0,P38,O38)*0.5</f>
        <v>6926457.9104133369</v>
      </c>
      <c r="R38" s="2"/>
      <c r="S38" s="16">
        <f t="shared" si="80"/>
        <v>4.302065224842283E-2</v>
      </c>
      <c r="T38" s="16"/>
      <c r="U38" s="2">
        <f t="shared" si="81"/>
        <v>2476662.0795219038</v>
      </c>
      <c r="V38" s="2"/>
      <c r="W38" s="2"/>
      <c r="X38" s="2"/>
      <c r="Y38" s="2"/>
      <c r="Z38" s="2"/>
      <c r="AA38" s="2"/>
      <c r="AB38" s="2">
        <f t="shared" si="82"/>
        <v>10407691.161113493</v>
      </c>
      <c r="AC38" s="2"/>
      <c r="AD38" s="16">
        <f t="shared" si="83"/>
        <v>0.31080996926001025</v>
      </c>
      <c r="AE38" s="16"/>
      <c r="AF38" s="16"/>
      <c r="AG38" s="16"/>
      <c r="AH38" s="16">
        <f t="shared" si="84"/>
        <v>0</v>
      </c>
      <c r="AI38" s="16"/>
      <c r="AJ38" s="16"/>
      <c r="AK38" s="16"/>
      <c r="AL38" s="16"/>
      <c r="AZ38" s="2">
        <f t="shared" si="85"/>
        <v>43893396.867055207</v>
      </c>
      <c r="BC38" s="14" t="s">
        <v>7</v>
      </c>
      <c r="BD38" s="2">
        <v>328852284.24685562</v>
      </c>
      <c r="BE38" s="31">
        <v>133280715.93843317</v>
      </c>
      <c r="BF38" s="63">
        <f t="shared" si="56"/>
        <v>0.17390778499348672</v>
      </c>
      <c r="BG38" s="63">
        <f t="shared" si="57"/>
        <v>0.16936689581234268</v>
      </c>
      <c r="BH38" s="63">
        <f t="shared" si="58"/>
        <v>0.16574621703757234</v>
      </c>
      <c r="BI38" s="63">
        <f t="shared" si="59"/>
        <v>0.16290479732692995</v>
      </c>
      <c r="BJ38" s="63">
        <f t="shared" si="60"/>
        <v>0.16072376464444052</v>
      </c>
      <c r="BK38" s="63">
        <f t="shared" si="61"/>
        <v>0.15906420113033864</v>
      </c>
      <c r="BL38" s="63">
        <f t="shared" si="62"/>
        <v>0.15765535314241924</v>
      </c>
      <c r="BM38" s="63">
        <f t="shared" si="63"/>
        <v>0.1556840238343381</v>
      </c>
      <c r="BN38" s="63">
        <f t="shared" si="64"/>
        <v>0.14940241478508037</v>
      </c>
      <c r="BO38" s="63">
        <f t="shared" si="65"/>
        <v>0.10417065465058721</v>
      </c>
      <c r="BP38" s="63" t="e">
        <f t="shared" si="66"/>
        <v>#DIV/0!</v>
      </c>
      <c r="BQ38" s="24" t="e">
        <f t="shared" si="67"/>
        <v>#DIV/0!</v>
      </c>
      <c r="BR38" s="24" t="e">
        <f t="shared" si="68"/>
        <v>#DIV/0!</v>
      </c>
      <c r="BS38" s="24" t="e">
        <f t="shared" si="69"/>
        <v>#DIV/0!</v>
      </c>
      <c r="BT38" s="24" t="e">
        <f t="shared" si="70"/>
        <v>#DIV/0!</v>
      </c>
      <c r="BU38" s="24" t="e">
        <f t="shared" si="71"/>
        <v>#DIV/0!</v>
      </c>
    </row>
    <row r="39" spans="1:73" x14ac:dyDescent="0.2">
      <c r="A39" s="250"/>
      <c r="B39" s="14" t="s">
        <v>3</v>
      </c>
      <c r="C39" s="2">
        <f t="shared" si="72"/>
        <v>493008973.2958132</v>
      </c>
      <c r="D39" s="2">
        <f t="shared" si="73"/>
        <v>194903546.88383719</v>
      </c>
      <c r="E39" s="2">
        <f t="shared" si="74"/>
        <v>87127907.823065519</v>
      </c>
      <c r="F39" s="4">
        <f t="shared" si="75"/>
        <v>210977518.58891049</v>
      </c>
      <c r="G39" s="1">
        <f t="shared" si="86"/>
        <v>0.57206150391441124</v>
      </c>
      <c r="H39" s="1">
        <f t="shared" si="76"/>
        <v>0.42793849608558876</v>
      </c>
      <c r="I39" s="29">
        <f t="shared" si="87"/>
        <v>0.03</v>
      </c>
      <c r="J39" s="2">
        <f t="shared" si="77"/>
        <v>2613837.2346919654</v>
      </c>
      <c r="K39" s="2"/>
      <c r="L39" s="2"/>
      <c r="M39" s="2"/>
      <c r="N39" s="2"/>
      <c r="O39" s="16">
        <f t="shared" si="78"/>
        <v>0.10470491818983334</v>
      </c>
      <c r="P39" s="16">
        <f t="shared" si="79"/>
        <v>7.2294712517695633E-2</v>
      </c>
      <c r="Q39" s="2">
        <f t="shared" si="88"/>
        <v>6027772.40388563</v>
      </c>
      <c r="R39" s="2"/>
      <c r="S39" s="16">
        <f t="shared" si="80"/>
        <v>0.15427775085211504</v>
      </c>
      <c r="T39" s="16"/>
      <c r="U39" s="2">
        <f t="shared" si="81"/>
        <v>8881637.8943526875</v>
      </c>
      <c r="V39" s="2"/>
      <c r="W39" s="2"/>
      <c r="X39" s="2"/>
      <c r="Y39" s="2"/>
      <c r="Z39" s="2"/>
      <c r="AA39" s="2"/>
      <c r="AB39" s="2">
        <f t="shared" si="82"/>
        <v>17523247.532930285</v>
      </c>
      <c r="AC39" s="2"/>
      <c r="AD39" s="16">
        <f t="shared" si="83"/>
        <v>0.20112094931184984</v>
      </c>
      <c r="AE39" s="16"/>
      <c r="AF39" s="16"/>
      <c r="AG39" s="16"/>
      <c r="AH39" s="16">
        <f t="shared" si="84"/>
        <v>0</v>
      </c>
      <c r="AI39" s="16"/>
      <c r="AJ39" s="16"/>
      <c r="AK39" s="16"/>
      <c r="AL39" s="16"/>
      <c r="AZ39" s="2">
        <f t="shared" si="85"/>
        <v>104651155.3559958</v>
      </c>
      <c r="BC39" s="14" t="s">
        <v>8</v>
      </c>
      <c r="BD39" s="2">
        <v>910487338.83586597</v>
      </c>
      <c r="BE39" s="31">
        <v>321724913.92231131</v>
      </c>
      <c r="BF39" s="63">
        <f t="shared" si="56"/>
        <v>9.8143647296644182E-2</v>
      </c>
      <c r="BG39" s="63">
        <f t="shared" si="57"/>
        <v>0.10172071269328049</v>
      </c>
      <c r="BH39" s="63">
        <f t="shared" si="58"/>
        <v>0.10565764942338243</v>
      </c>
      <c r="BI39" s="63">
        <f t="shared" si="59"/>
        <v>0.11009551781967719</v>
      </c>
      <c r="BJ39" s="63">
        <f t="shared" si="60"/>
        <v>0.11526108051416165</v>
      </c>
      <c r="BK39" s="63">
        <f t="shared" si="61"/>
        <v>0.12154390348590312</v>
      </c>
      <c r="BL39" s="63">
        <f t="shared" si="62"/>
        <v>0.12968118757692421</v>
      </c>
      <c r="BM39" s="63">
        <f t="shared" si="63"/>
        <v>0.14129443038416589</v>
      </c>
      <c r="BN39" s="63">
        <f t="shared" si="64"/>
        <v>0.16089143723290888</v>
      </c>
      <c r="BO39" s="63">
        <f t="shared" si="65"/>
        <v>0.20817578327909952</v>
      </c>
      <c r="BP39" s="63" t="e">
        <f t="shared" si="66"/>
        <v>#DIV/0!</v>
      </c>
      <c r="BQ39" s="24" t="e">
        <f t="shared" si="67"/>
        <v>#DIV/0!</v>
      </c>
      <c r="BR39" s="24" t="e">
        <f t="shared" si="68"/>
        <v>#DIV/0!</v>
      </c>
      <c r="BS39" s="24" t="e">
        <f t="shared" si="69"/>
        <v>#DIV/0!</v>
      </c>
      <c r="BT39" s="24" t="e">
        <f t="shared" si="70"/>
        <v>#DIV/0!</v>
      </c>
      <c r="BU39" s="24" t="e">
        <f t="shared" si="71"/>
        <v>#DIV/0!</v>
      </c>
    </row>
    <row r="40" spans="1:73" x14ac:dyDescent="0.2">
      <c r="A40" s="250"/>
      <c r="B40" s="14" t="s">
        <v>4</v>
      </c>
      <c r="C40" s="2">
        <f t="shared" si="72"/>
        <v>177472431.91927916</v>
      </c>
      <c r="D40" s="2">
        <f t="shared" si="73"/>
        <v>29964860.163336672</v>
      </c>
      <c r="E40" s="2">
        <f t="shared" si="74"/>
        <v>48722460.321968883</v>
      </c>
      <c r="F40" s="4">
        <f t="shared" si="75"/>
        <v>98785111.43397361</v>
      </c>
      <c r="G40" s="1">
        <f t="shared" si="86"/>
        <v>0.44337771018484362</v>
      </c>
      <c r="H40" s="1">
        <f t="shared" si="76"/>
        <v>0.55662228981515638</v>
      </c>
      <c r="I40" s="29">
        <f t="shared" si="87"/>
        <v>0.03</v>
      </c>
      <c r="J40" s="2">
        <f t="shared" si="77"/>
        <v>1461673.8096590664</v>
      </c>
      <c r="K40" s="2"/>
      <c r="L40" s="2"/>
      <c r="M40" s="2"/>
      <c r="N40" s="2"/>
      <c r="O40" s="16">
        <f t="shared" si="78"/>
        <v>0.13619034475944247</v>
      </c>
      <c r="P40" s="16">
        <f t="shared" si="79"/>
        <v>5.6032199117113053E-2</v>
      </c>
      <c r="Q40" s="2">
        <f t="shared" si="88"/>
        <v>7840361.4272280438</v>
      </c>
      <c r="R40" s="2"/>
      <c r="S40" s="16">
        <f t="shared" si="80"/>
        <v>7.2236818935219341E-2</v>
      </c>
      <c r="T40" s="16"/>
      <c r="U40" s="2">
        <f t="shared" si="81"/>
        <v>4158611.7562572844</v>
      </c>
      <c r="V40" s="2"/>
      <c r="W40" s="2"/>
      <c r="X40" s="2"/>
      <c r="Y40" s="2"/>
      <c r="Z40" s="2"/>
      <c r="AA40" s="2"/>
      <c r="AB40" s="2">
        <f t="shared" si="82"/>
        <v>13460646.993144395</v>
      </c>
      <c r="AC40" s="2"/>
      <c r="AD40" s="16">
        <f t="shared" si="83"/>
        <v>0.27627190630755177</v>
      </c>
      <c r="AE40" s="16"/>
      <c r="AF40" s="16"/>
      <c r="AG40" s="16"/>
      <c r="AH40" s="16">
        <f t="shared" si="84"/>
        <v>0</v>
      </c>
      <c r="AI40" s="16"/>
      <c r="AJ40" s="16"/>
      <c r="AK40" s="16"/>
      <c r="AL40" s="16"/>
      <c r="AZ40" s="2">
        <f t="shared" si="85"/>
        <v>62183107.315113276</v>
      </c>
      <c r="BC40" s="14" t="s">
        <v>9</v>
      </c>
      <c r="BD40" s="2">
        <v>92705416.600463837</v>
      </c>
      <c r="BE40" s="31">
        <v>27802727.782648683</v>
      </c>
      <c r="BF40" s="63">
        <f t="shared" si="56"/>
        <v>0.21008225018187024</v>
      </c>
      <c r="BG40" s="63">
        <f t="shared" si="57"/>
        <v>0.18502023359252015</v>
      </c>
      <c r="BH40" s="63">
        <f t="shared" si="58"/>
        <v>0.16373891384309097</v>
      </c>
      <c r="BI40" s="63">
        <f t="shared" si="59"/>
        <v>0.14434614912980653</v>
      </c>
      <c r="BJ40" s="63">
        <f t="shared" si="60"/>
        <v>0.12535729461715114</v>
      </c>
      <c r="BK40" s="63">
        <f t="shared" si="61"/>
        <v>0.10537475083735924</v>
      </c>
      <c r="BL40" s="63">
        <f t="shared" si="62"/>
        <v>8.2904814898783041E-2</v>
      </c>
      <c r="BM40" s="63">
        <f t="shared" si="63"/>
        <v>5.6565079899820875E-2</v>
      </c>
      <c r="BN40" s="63">
        <f t="shared" si="64"/>
        <v>0.03</v>
      </c>
      <c r="BO40" s="63">
        <f t="shared" si="65"/>
        <v>0.03</v>
      </c>
      <c r="BP40" s="63" t="e">
        <f t="shared" si="66"/>
        <v>#DIV/0!</v>
      </c>
      <c r="BQ40" s="24" t="e">
        <f t="shared" si="67"/>
        <v>#DIV/0!</v>
      </c>
      <c r="BR40" s="24" t="e">
        <f t="shared" si="68"/>
        <v>#DIV/0!</v>
      </c>
      <c r="BS40" s="24" t="e">
        <f t="shared" si="69"/>
        <v>#DIV/0!</v>
      </c>
      <c r="BT40" s="24" t="e">
        <f t="shared" si="70"/>
        <v>#DIV/0!</v>
      </c>
      <c r="BU40" s="24" t="e">
        <f t="shared" si="71"/>
        <v>#DIV/0!</v>
      </c>
    </row>
    <row r="41" spans="1:73" x14ac:dyDescent="0.2">
      <c r="A41" s="250"/>
      <c r="B41" s="14" t="s">
        <v>5</v>
      </c>
      <c r="C41" s="2">
        <f t="shared" si="72"/>
        <v>420333172.84005666</v>
      </c>
      <c r="D41" s="2">
        <f t="shared" si="73"/>
        <v>133728891.43313816</v>
      </c>
      <c r="E41" s="2">
        <f t="shared" si="74"/>
        <v>105462716.31602786</v>
      </c>
      <c r="F41" s="4">
        <f t="shared" si="75"/>
        <v>181141565.09089062</v>
      </c>
      <c r="G41" s="1">
        <f t="shared" si="86"/>
        <v>0.5690524165224099</v>
      </c>
      <c r="H41" s="1">
        <f t="shared" si="76"/>
        <v>0.4309475834775901</v>
      </c>
      <c r="I41" s="29">
        <f t="shared" si="87"/>
        <v>0.03</v>
      </c>
      <c r="J41" s="2">
        <f t="shared" si="77"/>
        <v>3163881.4894808359</v>
      </c>
      <c r="K41" s="2"/>
      <c r="L41" s="2"/>
      <c r="M41" s="2"/>
      <c r="N41" s="2"/>
      <c r="O41" s="16">
        <f t="shared" si="78"/>
        <v>0.10544116008460915</v>
      </c>
      <c r="P41" s="16">
        <f t="shared" si="79"/>
        <v>7.1914436784305424E-2</v>
      </c>
      <c r="Q41" s="2">
        <f t="shared" si="88"/>
        <v>6070157.2187791197</v>
      </c>
      <c r="R41" s="2"/>
      <c r="S41" s="16">
        <f t="shared" si="80"/>
        <v>0.13246014757860328</v>
      </c>
      <c r="T41" s="16"/>
      <c r="U41" s="2">
        <f t="shared" si="81"/>
        <v>7625617.1724553229</v>
      </c>
      <c r="V41" s="2"/>
      <c r="W41" s="2"/>
      <c r="X41" s="2"/>
      <c r="Y41" s="2"/>
      <c r="Z41" s="2"/>
      <c r="AA41" s="2"/>
      <c r="AB41" s="2">
        <f t="shared" si="82"/>
        <v>16859655.880715277</v>
      </c>
      <c r="AC41" s="2"/>
      <c r="AD41" s="16">
        <f t="shared" si="83"/>
        <v>0.15986366053946408</v>
      </c>
      <c r="AE41" s="16"/>
      <c r="AF41" s="16"/>
      <c r="AG41" s="16"/>
      <c r="AH41" s="16">
        <f t="shared" si="84"/>
        <v>0</v>
      </c>
      <c r="AI41" s="16"/>
      <c r="AJ41" s="16"/>
      <c r="AK41" s="16"/>
      <c r="AL41" s="16"/>
      <c r="AZ41" s="2">
        <f t="shared" si="85"/>
        <v>122322372.19674315</v>
      </c>
      <c r="BC41" s="14" t="s">
        <v>10</v>
      </c>
      <c r="BD41" s="2">
        <v>1243404655.6066542</v>
      </c>
      <c r="BE41" s="31">
        <v>110876434.4409368</v>
      </c>
      <c r="BF41" s="63">
        <f t="shared" si="56"/>
        <v>4.955837959360182E-2</v>
      </c>
      <c r="BG41" s="63">
        <f t="shared" si="57"/>
        <v>5.1575910176617924E-2</v>
      </c>
      <c r="BH41" s="63">
        <f t="shared" si="58"/>
        <v>5.3896673925906947E-2</v>
      </c>
      <c r="BI41" s="63">
        <f t="shared" si="59"/>
        <v>5.6611581440706771E-2</v>
      </c>
      <c r="BJ41" s="63">
        <f t="shared" si="60"/>
        <v>5.986335927990534E-2</v>
      </c>
      <c r="BK41" s="63">
        <f t="shared" si="61"/>
        <v>6.3894002944325387E-2</v>
      </c>
      <c r="BL41" s="63">
        <f t="shared" si="62"/>
        <v>6.9159742085736831E-2</v>
      </c>
      <c r="BM41" s="63">
        <f t="shared" si="63"/>
        <v>7.6669724885287283E-2</v>
      </c>
      <c r="BN41" s="63">
        <f t="shared" si="64"/>
        <v>8.9317984883077378E-2</v>
      </c>
      <c r="BO41" s="63">
        <f t="shared" si="65"/>
        <v>0.12147088093660857</v>
      </c>
      <c r="BP41" s="63" t="e">
        <f t="shared" si="66"/>
        <v>#DIV/0!</v>
      </c>
      <c r="BQ41" s="24" t="e">
        <f t="shared" si="67"/>
        <v>#DIV/0!</v>
      </c>
      <c r="BR41" s="24" t="e">
        <f t="shared" si="68"/>
        <v>#DIV/0!</v>
      </c>
      <c r="BS41" s="24" t="e">
        <f t="shared" si="69"/>
        <v>#DIV/0!</v>
      </c>
      <c r="BT41" s="24" t="e">
        <f t="shared" si="70"/>
        <v>#DIV/0!</v>
      </c>
      <c r="BU41" s="24" t="e">
        <f t="shared" si="71"/>
        <v>#DIV/0!</v>
      </c>
    </row>
    <row r="42" spans="1:73" x14ac:dyDescent="0.2">
      <c r="A42" s="250"/>
      <c r="B42" s="14" t="s">
        <v>6</v>
      </c>
      <c r="C42" s="2">
        <f t="shared" si="72"/>
        <v>306524156.04093868</v>
      </c>
      <c r="D42" s="2">
        <f t="shared" si="73"/>
        <v>137233446.31874615</v>
      </c>
      <c r="E42" s="2">
        <f t="shared" si="74"/>
        <v>141861154.51511338</v>
      </c>
      <c r="F42" s="4">
        <f t="shared" si="75"/>
        <v>27429555.207079142</v>
      </c>
      <c r="G42" s="1">
        <f t="shared" si="86"/>
        <v>0.91051421342657346</v>
      </c>
      <c r="H42" s="1">
        <f t="shared" si="76"/>
        <v>8.9485786573426568E-2</v>
      </c>
      <c r="I42" s="29">
        <f t="shared" si="87"/>
        <v>0.03</v>
      </c>
      <c r="J42" s="2">
        <f t="shared" si="77"/>
        <v>4255834.6354534011</v>
      </c>
      <c r="K42" s="2"/>
      <c r="L42" s="2"/>
      <c r="M42" s="2"/>
      <c r="N42" s="2"/>
      <c r="O42" s="16">
        <f t="shared" si="78"/>
        <v>2.1894739660087911E-2</v>
      </c>
      <c r="P42" s="16">
        <f t="shared" si="79"/>
        <v>0.11506693397917984</v>
      </c>
      <c r="Q42" s="2">
        <f t="shared" si="88"/>
        <v>1260461.3975635848</v>
      </c>
      <c r="R42" s="2"/>
      <c r="S42" s="16">
        <f t="shared" si="80"/>
        <v>2.0057919500265291E-2</v>
      </c>
      <c r="T42" s="16"/>
      <c r="U42" s="2">
        <f t="shared" si="81"/>
        <v>1154717.2351909464</v>
      </c>
      <c r="V42" s="2"/>
      <c r="W42" s="2"/>
      <c r="X42" s="2"/>
      <c r="Y42" s="2"/>
      <c r="Z42" s="2"/>
      <c r="AA42" s="2"/>
      <c r="AB42" s="2">
        <f t="shared" si="82"/>
        <v>6671013.2682079328</v>
      </c>
      <c r="AC42" s="2"/>
      <c r="AD42" s="16">
        <f t="shared" si="83"/>
        <v>4.7024946970223809E-2</v>
      </c>
      <c r="AE42" s="16"/>
      <c r="AF42" s="16"/>
      <c r="AG42" s="16"/>
      <c r="AH42" s="16">
        <f t="shared" si="84"/>
        <v>0</v>
      </c>
      <c r="AI42" s="16"/>
      <c r="AJ42" s="16"/>
      <c r="AK42" s="16"/>
      <c r="AL42" s="16"/>
      <c r="AZ42" s="2">
        <f t="shared" si="85"/>
        <v>148532167.78332132</v>
      </c>
      <c r="BC42" s="14" t="s">
        <v>11</v>
      </c>
      <c r="BD42" s="2">
        <v>195405555.48763829</v>
      </c>
      <c r="BE42" s="31">
        <v>75892247.402372122</v>
      </c>
      <c r="BF42" s="63">
        <f t="shared" si="56"/>
        <v>0.17130739560044089</v>
      </c>
      <c r="BG42" s="63">
        <f t="shared" si="57"/>
        <v>0.16435547569785364</v>
      </c>
      <c r="BH42" s="63">
        <f t="shared" si="58"/>
        <v>0.15814695644643309</v>
      </c>
      <c r="BI42" s="63">
        <f t="shared" si="59"/>
        <v>0.15233527924731</v>
      </c>
      <c r="BJ42" s="63">
        <f t="shared" si="60"/>
        <v>0.1465127673087023</v>
      </c>
      <c r="BK42" s="63">
        <f t="shared" si="61"/>
        <v>0.14007409865708359</v>
      </c>
      <c r="BL42" s="63">
        <f t="shared" si="62"/>
        <v>0.13189439345327411</v>
      </c>
      <c r="BM42" s="63">
        <f t="shared" si="63"/>
        <v>0.11936665283796638</v>
      </c>
      <c r="BN42" s="63">
        <f t="shared" si="64"/>
        <v>9.4322451300177329E-2</v>
      </c>
      <c r="BO42" s="63">
        <f t="shared" si="65"/>
        <v>0.03</v>
      </c>
      <c r="BP42" s="63" t="e">
        <f t="shared" si="66"/>
        <v>#DIV/0!</v>
      </c>
      <c r="BQ42" s="24" t="e">
        <f t="shared" si="67"/>
        <v>#DIV/0!</v>
      </c>
      <c r="BR42" s="24" t="e">
        <f t="shared" si="68"/>
        <v>#DIV/0!</v>
      </c>
      <c r="BS42" s="24" t="e">
        <f t="shared" si="69"/>
        <v>#DIV/0!</v>
      </c>
      <c r="BT42" s="24" t="e">
        <f t="shared" si="70"/>
        <v>#DIV/0!</v>
      </c>
      <c r="BU42" s="24" t="e">
        <f t="shared" si="71"/>
        <v>#DIV/0!</v>
      </c>
    </row>
    <row r="43" spans="1:73" x14ac:dyDescent="0.2">
      <c r="A43" s="250"/>
      <c r="B43" s="14" t="s">
        <v>7</v>
      </c>
      <c r="C43" s="2">
        <f t="shared" si="72"/>
        <v>340245690.74442112</v>
      </c>
      <c r="D43" s="2">
        <f t="shared" si="73"/>
        <v>141141693.29059067</v>
      </c>
      <c r="E43" s="2">
        <f t="shared" si="74"/>
        <v>74594622.477734357</v>
      </c>
      <c r="F43" s="4">
        <f t="shared" si="75"/>
        <v>124509374.97609609</v>
      </c>
      <c r="G43" s="1">
        <f t="shared" si="86"/>
        <v>0.63406039117296997</v>
      </c>
      <c r="H43" s="1">
        <f t="shared" si="76"/>
        <v>0.36593960882703003</v>
      </c>
      <c r="I43" s="29">
        <f t="shared" si="87"/>
        <v>0.03</v>
      </c>
      <c r="J43" s="2">
        <f t="shared" si="77"/>
        <v>2237838.6743320306</v>
      </c>
      <c r="K43" s="2"/>
      <c r="L43" s="2"/>
      <c r="M43" s="2"/>
      <c r="N43" s="2"/>
      <c r="O43" s="16">
        <f t="shared" si="78"/>
        <v>8.9535475670294837E-2</v>
      </c>
      <c r="P43" s="16">
        <f t="shared" si="79"/>
        <v>8.0129869577040644E-2</v>
      </c>
      <c r="Q43" s="2">
        <f t="shared" si="88"/>
        <v>5154480.5988548137</v>
      </c>
      <c r="R43" s="2"/>
      <c r="S43" s="16">
        <f t="shared" si="80"/>
        <v>9.1047740345944109E-2</v>
      </c>
      <c r="T43" s="16"/>
      <c r="U43" s="2">
        <f t="shared" si="81"/>
        <v>5241540.3801606251</v>
      </c>
      <c r="V43" s="2"/>
      <c r="W43" s="2"/>
      <c r="X43" s="2"/>
      <c r="Y43" s="2"/>
      <c r="Z43" s="2"/>
      <c r="AA43" s="2"/>
      <c r="AB43" s="2">
        <f t="shared" si="82"/>
        <v>12633859.65334747</v>
      </c>
      <c r="AC43" s="2"/>
      <c r="AD43" s="16">
        <f t="shared" si="83"/>
        <v>0.16936689581234268</v>
      </c>
      <c r="AE43" s="16"/>
      <c r="AF43" s="16"/>
      <c r="AG43" s="16"/>
      <c r="AH43" s="16">
        <f t="shared" si="84"/>
        <v>0</v>
      </c>
      <c r="AI43" s="16"/>
      <c r="AJ43" s="16"/>
      <c r="AK43" s="16"/>
      <c r="AL43" s="16"/>
      <c r="AZ43" s="2">
        <f t="shared" si="85"/>
        <v>87228482.13108182</v>
      </c>
      <c r="BC43" s="15" t="s">
        <v>14</v>
      </c>
      <c r="BD43" s="33">
        <f>SUM(BD31:BD42)</f>
        <v>4467075684.9250851</v>
      </c>
      <c r="BE43" s="33">
        <f>SUM(BE31:BE42)</f>
        <v>1365370425.5038662</v>
      </c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</row>
    <row r="44" spans="1:73" x14ac:dyDescent="0.2">
      <c r="A44" s="250"/>
      <c r="B44" s="14" t="s">
        <v>8</v>
      </c>
      <c r="C44" s="2">
        <f t="shared" si="72"/>
        <v>958848211.45848465</v>
      </c>
      <c r="D44" s="2">
        <f t="shared" si="73"/>
        <v>330525206.0835309</v>
      </c>
      <c r="E44" s="2">
        <f t="shared" si="74"/>
        <v>277655077.36200184</v>
      </c>
      <c r="F44" s="4">
        <f t="shared" si="75"/>
        <v>350667928.01295185</v>
      </c>
      <c r="G44" s="1">
        <f t="shared" si="86"/>
        <v>0.63428212742916013</v>
      </c>
      <c r="H44" s="1">
        <f t="shared" si="76"/>
        <v>0.36571787257083993</v>
      </c>
      <c r="I44" s="29">
        <f t="shared" si="87"/>
        <v>0.03</v>
      </c>
      <c r="J44" s="2">
        <f t="shared" si="77"/>
        <v>8329652.3208600543</v>
      </c>
      <c r="K44" s="2"/>
      <c r="L44" s="2"/>
      <c r="M44" s="2"/>
      <c r="N44" s="2"/>
      <c r="O44" s="16">
        <f t="shared" si="78"/>
        <v>8.9481222835421426E-2</v>
      </c>
      <c r="P44" s="16">
        <f t="shared" si="79"/>
        <v>8.015789166694938E-2</v>
      </c>
      <c r="Q44" s="2">
        <f t="shared" si="88"/>
        <v>5151357.3096480016</v>
      </c>
      <c r="R44" s="2"/>
      <c r="S44" s="16">
        <f t="shared" si="80"/>
        <v>0.25642665432625505</v>
      </c>
      <c r="T44" s="16"/>
      <c r="U44" s="2">
        <f t="shared" si="81"/>
        <v>14762262.721662704</v>
      </c>
      <c r="V44" s="2"/>
      <c r="W44" s="2"/>
      <c r="X44" s="2"/>
      <c r="Y44" s="2"/>
      <c r="Z44" s="2"/>
      <c r="AA44" s="2"/>
      <c r="AB44" s="2">
        <f t="shared" si="82"/>
        <v>28243272.352170758</v>
      </c>
      <c r="AC44" s="2"/>
      <c r="AD44" s="16">
        <f t="shared" si="83"/>
        <v>0.10172071269328049</v>
      </c>
      <c r="AE44" s="16"/>
      <c r="AF44" s="16"/>
      <c r="AG44" s="16"/>
      <c r="AH44" s="16">
        <f t="shared" si="84"/>
        <v>0</v>
      </c>
      <c r="AI44" s="16"/>
      <c r="AJ44" s="16"/>
      <c r="AK44" s="16"/>
      <c r="AL44" s="16"/>
      <c r="AZ44" s="2">
        <f t="shared" si="85"/>
        <v>305898349.7141726</v>
      </c>
    </row>
    <row r="45" spans="1:73" x14ac:dyDescent="0.2">
      <c r="A45" s="250"/>
      <c r="B45" s="14" t="s">
        <v>9</v>
      </c>
      <c r="C45" s="2">
        <f t="shared" si="72"/>
        <v>96528346.055282235</v>
      </c>
      <c r="D45" s="2">
        <f t="shared" si="73"/>
        <v>41478064.105958782</v>
      </c>
      <c r="E45" s="2">
        <f t="shared" si="74"/>
        <v>30172967.221046492</v>
      </c>
      <c r="F45" s="4">
        <f t="shared" si="75"/>
        <v>24877314.728276961</v>
      </c>
      <c r="G45" s="1">
        <f t="shared" si="86"/>
        <v>0.74227969560330387</v>
      </c>
      <c r="H45" s="1">
        <f t="shared" si="76"/>
        <v>0.25772030439669613</v>
      </c>
      <c r="I45" s="29">
        <f t="shared" si="87"/>
        <v>0.03</v>
      </c>
      <c r="J45" s="2">
        <f t="shared" si="77"/>
        <v>905189.01663139474</v>
      </c>
      <c r="K45" s="2"/>
      <c r="L45" s="2"/>
      <c r="M45" s="2"/>
      <c r="N45" s="2"/>
      <c r="O45" s="16">
        <f t="shared" si="78"/>
        <v>6.3057153386635326E-2</v>
      </c>
      <c r="P45" s="16">
        <f t="shared" si="79"/>
        <v>9.3806167403622798E-2</v>
      </c>
      <c r="Q45" s="2">
        <f t="shared" si="88"/>
        <v>3630146.2779658632</v>
      </c>
      <c r="R45" s="2"/>
      <c r="S45" s="16">
        <f t="shared" si="80"/>
        <v>1.8191588322721417E-2</v>
      </c>
      <c r="T45" s="16"/>
      <c r="U45" s="2">
        <f t="shared" si="81"/>
        <v>1047274.1488202177</v>
      </c>
      <c r="V45" s="2"/>
      <c r="W45" s="2"/>
      <c r="X45" s="2"/>
      <c r="Y45" s="2"/>
      <c r="Z45" s="2"/>
      <c r="AA45" s="2"/>
      <c r="AB45" s="2">
        <f t="shared" si="82"/>
        <v>5582609.4434174756</v>
      </c>
      <c r="AC45" s="2"/>
      <c r="AD45" s="16">
        <f t="shared" si="83"/>
        <v>0.18502023359252015</v>
      </c>
      <c r="AE45" s="16"/>
      <c r="AF45" s="16"/>
      <c r="AG45" s="16"/>
      <c r="AH45" s="16">
        <f t="shared" si="84"/>
        <v>0</v>
      </c>
      <c r="AI45" s="16"/>
      <c r="AJ45" s="16"/>
      <c r="AK45" s="16"/>
      <c r="AL45" s="16"/>
      <c r="AZ45" s="2">
        <f t="shared" si="85"/>
        <v>35755576.664463967</v>
      </c>
    </row>
    <row r="46" spans="1:73" x14ac:dyDescent="0.2">
      <c r="A46" s="250"/>
      <c r="B46" s="14" t="s">
        <v>10</v>
      </c>
      <c r="C46" s="2">
        <f t="shared" si="72"/>
        <v>1286113860.7274024</v>
      </c>
      <c r="D46" s="2">
        <f t="shared" si="73"/>
        <v>831228529.69854152</v>
      </c>
      <c r="E46" s="2">
        <f t="shared" si="74"/>
        <v>323367810.14579225</v>
      </c>
      <c r="F46" s="4">
        <f t="shared" si="75"/>
        <v>131517520.88306868</v>
      </c>
      <c r="G46" s="1">
        <f t="shared" si="86"/>
        <v>0.89774037517278227</v>
      </c>
      <c r="H46" s="1">
        <f t="shared" si="76"/>
        <v>0.10225962482721769</v>
      </c>
      <c r="I46" s="29">
        <f t="shared" si="87"/>
        <v>0.03</v>
      </c>
      <c r="J46" s="2">
        <f t="shared" si="77"/>
        <v>9701034.3043737672</v>
      </c>
      <c r="K46" s="2"/>
      <c r="L46" s="2"/>
      <c r="M46" s="2"/>
      <c r="N46" s="2"/>
      <c r="O46" s="16">
        <f t="shared" si="78"/>
        <v>2.5020150674912488E-2</v>
      </c>
      <c r="P46" s="16">
        <f t="shared" si="79"/>
        <v>0.11345263034576573</v>
      </c>
      <c r="Q46" s="2">
        <f t="shared" si="88"/>
        <v>1440388.63108478</v>
      </c>
      <c r="R46" s="2"/>
      <c r="S46" s="16">
        <f t="shared" si="80"/>
        <v>9.6172461668872861E-2</v>
      </c>
      <c r="T46" s="16"/>
      <c r="U46" s="2">
        <f t="shared" si="81"/>
        <v>5536566.1946304711</v>
      </c>
      <c r="V46" s="2"/>
      <c r="W46" s="2"/>
      <c r="X46" s="2"/>
      <c r="Y46" s="2"/>
      <c r="Z46" s="2"/>
      <c r="AA46" s="2"/>
      <c r="AB46" s="2">
        <f t="shared" si="82"/>
        <v>16677989.130089018</v>
      </c>
      <c r="AC46" s="2"/>
      <c r="AD46" s="16">
        <f t="shared" si="83"/>
        <v>5.1575910176617924E-2</v>
      </c>
      <c r="AE46" s="16"/>
      <c r="AF46" s="16"/>
      <c r="AG46" s="16"/>
      <c r="AH46" s="16">
        <f t="shared" si="84"/>
        <v>0</v>
      </c>
      <c r="AI46" s="16"/>
      <c r="AJ46" s="16"/>
      <c r="AK46" s="16"/>
      <c r="AL46" s="16"/>
      <c r="AZ46" s="2">
        <f t="shared" si="85"/>
        <v>340045799.27588129</v>
      </c>
    </row>
    <row r="47" spans="1:73" x14ac:dyDescent="0.2">
      <c r="A47" s="250"/>
      <c r="B47" s="14" t="s">
        <v>11</v>
      </c>
      <c r="C47" s="2">
        <f t="shared" si="72"/>
        <v>205026448.21422312</v>
      </c>
      <c r="D47" s="2">
        <f t="shared" si="73"/>
        <v>72202391.731272236</v>
      </c>
      <c r="E47" s="2">
        <f t="shared" si="74"/>
        <v>60030597.244758494</v>
      </c>
      <c r="F47" s="4">
        <f t="shared" si="75"/>
        <v>72793459.238192394</v>
      </c>
      <c r="G47" s="1">
        <f t="shared" si="86"/>
        <v>0.64495576120923825</v>
      </c>
      <c r="H47" s="1">
        <f t="shared" si="76"/>
        <v>0.3550442387907618</v>
      </c>
      <c r="I47" s="29">
        <f t="shared" si="87"/>
        <v>0.03</v>
      </c>
      <c r="J47" s="2">
        <f t="shared" si="77"/>
        <v>1800917.9173427548</v>
      </c>
      <c r="K47" s="2"/>
      <c r="L47" s="2"/>
      <c r="M47" s="2"/>
      <c r="N47" s="2"/>
      <c r="O47" s="16">
        <f t="shared" si="78"/>
        <v>8.6869674769626939E-2</v>
      </c>
      <c r="P47" s="16">
        <f t="shared" si="79"/>
        <v>8.1506780344774779E-2</v>
      </c>
      <c r="Q47" s="2">
        <f>$J$49*IF($J$49&lt;0,P47,O47)*0.5</f>
        <v>5001012.7257013666</v>
      </c>
      <c r="R47" s="2"/>
      <c r="S47" s="16">
        <f t="shared" si="80"/>
        <v>5.3230369013372858E-2</v>
      </c>
      <c r="T47" s="16"/>
      <c r="U47" s="2">
        <f t="shared" si="81"/>
        <v>3064426.7235444216</v>
      </c>
      <c r="V47" s="2"/>
      <c r="W47" s="2"/>
      <c r="X47" s="2"/>
      <c r="Y47" s="2"/>
      <c r="Z47" s="2"/>
      <c r="AA47" s="2"/>
      <c r="AB47" s="2">
        <f t="shared" si="82"/>
        <v>9866357.3665885441</v>
      </c>
      <c r="AC47" s="2"/>
      <c r="AD47" s="16">
        <f t="shared" si="83"/>
        <v>0.16435547569785364</v>
      </c>
      <c r="AE47" s="16"/>
      <c r="AF47" s="16"/>
      <c r="AG47" s="16"/>
      <c r="AH47" s="16">
        <f t="shared" si="84"/>
        <v>0</v>
      </c>
      <c r="AI47" s="16"/>
      <c r="AJ47" s="16"/>
      <c r="AK47" s="16"/>
      <c r="AL47" s="16"/>
      <c r="AZ47" s="2">
        <f t="shared" si="85"/>
        <v>69896954.611347035</v>
      </c>
    </row>
    <row r="48" spans="1:73" x14ac:dyDescent="0.2">
      <c r="A48" s="250"/>
      <c r="B48" s="15" t="s">
        <v>14</v>
      </c>
      <c r="C48" s="30">
        <f>SUM(C36:C47)</f>
        <v>4658458337.5801401</v>
      </c>
      <c r="D48" s="30">
        <f>SUM(D36:D47)</f>
        <v>2011626585.6319799</v>
      </c>
      <c r="E48" s="30">
        <f>SUM(E36:E47)</f>
        <v>1279314288</v>
      </c>
      <c r="F48" s="30">
        <f>SUM(F36:F47)</f>
        <v>1367517463.9481604</v>
      </c>
      <c r="G48" s="1">
        <f>1-H48</f>
        <v>0.70644420002293629</v>
      </c>
      <c r="H48" s="11">
        <f t="shared" si="76"/>
        <v>0.29355579997706371</v>
      </c>
      <c r="J48" s="30">
        <f>SUM(J36:J47)</f>
        <v>38379428.639999993</v>
      </c>
      <c r="K48" s="30"/>
      <c r="L48" s="30"/>
      <c r="M48" s="30"/>
      <c r="N48" s="30"/>
      <c r="Q48" s="30">
        <f>SUM(Q36:Q47)</f>
        <v>57569142.960000083</v>
      </c>
      <c r="R48" s="30"/>
      <c r="S48" s="30"/>
      <c r="T48" s="30"/>
      <c r="U48" s="30">
        <f>SUM(U36:U47)</f>
        <v>57569142.960000098</v>
      </c>
      <c r="V48" s="30"/>
      <c r="W48" s="30"/>
      <c r="X48" s="30"/>
      <c r="Y48" s="30"/>
      <c r="Z48" s="30"/>
      <c r="AA48" s="30"/>
      <c r="AB48" s="30">
        <f>SUM(AB36:AB47)</f>
        <v>153517714.56000021</v>
      </c>
      <c r="AC48" s="30"/>
      <c r="AD48" s="16">
        <f t="shared" si="83"/>
        <v>0.12000000000000016</v>
      </c>
      <c r="AE48" s="16"/>
      <c r="AF48" s="16"/>
      <c r="AG48" s="16"/>
      <c r="AH48" s="16">
        <f t="shared" si="84"/>
        <v>0</v>
      </c>
      <c r="AI48" s="16"/>
      <c r="AJ48" s="16"/>
      <c r="AK48" s="16"/>
      <c r="AL48" s="16"/>
      <c r="AZ48" s="3">
        <f>SUM(AZ36:AZ47)</f>
        <v>1432832002.5600002</v>
      </c>
    </row>
    <row r="49" spans="1:52" x14ac:dyDescent="0.2">
      <c r="G49" s="21">
        <f>SUM(G36:G47)</f>
        <v>7.9129093123426877</v>
      </c>
      <c r="H49" s="21">
        <f>SUM(H36:H47)</f>
        <v>4.0870906876573141</v>
      </c>
      <c r="I49" s="10" t="s">
        <v>30</v>
      </c>
      <c r="J49" s="17">
        <f>C31-SUM(J36:J47)</f>
        <v>115138285.9200002</v>
      </c>
      <c r="K49" s="17"/>
      <c r="L49" s="17"/>
      <c r="M49" s="17"/>
      <c r="N49" s="17"/>
    </row>
    <row r="52" spans="1:52" x14ac:dyDescent="0.2">
      <c r="A52" s="250">
        <v>2</v>
      </c>
      <c r="B52" t="s">
        <v>34</v>
      </c>
      <c r="C52" s="4">
        <f>AZ48</f>
        <v>1432832002.5600002</v>
      </c>
      <c r="S52" s="16"/>
      <c r="T52" s="16"/>
    </row>
    <row r="53" spans="1:52" x14ac:dyDescent="0.2">
      <c r="A53" s="250"/>
      <c r="B53" t="s">
        <v>27</v>
      </c>
      <c r="C53" s="6">
        <f>C52*(1+C54)</f>
        <v>1604771842.8672004</v>
      </c>
    </row>
    <row r="54" spans="1:52" x14ac:dyDescent="0.2">
      <c r="A54" s="250"/>
      <c r="B54" t="s">
        <v>28</v>
      </c>
      <c r="C54" s="20">
        <f>C4</f>
        <v>0.12</v>
      </c>
    </row>
    <row r="55" spans="1:52" x14ac:dyDescent="0.2">
      <c r="A55" s="250"/>
      <c r="B55" t="s">
        <v>16</v>
      </c>
      <c r="C55" s="20">
        <f>C5</f>
        <v>0.03</v>
      </c>
    </row>
    <row r="56" spans="1:52" x14ac:dyDescent="0.2">
      <c r="A56" s="250"/>
      <c r="B56" t="s">
        <v>31</v>
      </c>
      <c r="C56" s="6">
        <f>C53-C52</f>
        <v>171939840.30720019</v>
      </c>
    </row>
    <row r="57" spans="1:52" x14ac:dyDescent="0.2">
      <c r="A57" s="250"/>
      <c r="B57" t="s">
        <v>48</v>
      </c>
      <c r="C57" s="20">
        <f>((1+$C$5)^A52)-1</f>
        <v>6.0899999999999954E-2</v>
      </c>
    </row>
    <row r="58" spans="1:52" ht="21" x14ac:dyDescent="0.25">
      <c r="A58" s="250"/>
      <c r="F58" s="6"/>
      <c r="G58" s="6"/>
      <c r="I58" s="251" t="s">
        <v>18</v>
      </c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107"/>
      <c r="AF58" s="107"/>
      <c r="AG58" s="107"/>
      <c r="AH58" s="107"/>
      <c r="AI58" s="107"/>
      <c r="AJ58" s="107"/>
      <c r="AK58" s="107"/>
      <c r="AL58" s="107"/>
    </row>
    <row r="59" spans="1:52" x14ac:dyDescent="0.2">
      <c r="A59" s="250" t="s">
        <v>51</v>
      </c>
      <c r="I59" s="255" t="s">
        <v>19</v>
      </c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115"/>
      <c r="AF59" s="115"/>
      <c r="AG59" s="115"/>
      <c r="AH59" s="115"/>
      <c r="AI59" s="115"/>
      <c r="AJ59" s="115"/>
      <c r="AK59" s="115"/>
      <c r="AL59" s="115"/>
    </row>
    <row r="60" spans="1:52" ht="49" thickBot="1" x14ac:dyDescent="0.25">
      <c r="A60" s="250"/>
      <c r="B60" s="22" t="s">
        <v>12</v>
      </c>
      <c r="C60" s="13" t="s">
        <v>15</v>
      </c>
      <c r="D60" s="13" t="s">
        <v>63</v>
      </c>
      <c r="E60" s="13" t="s">
        <v>29</v>
      </c>
      <c r="F60" s="13" t="s">
        <v>13</v>
      </c>
      <c r="G60" s="13" t="s">
        <v>50</v>
      </c>
      <c r="H60" s="13" t="s">
        <v>17</v>
      </c>
      <c r="I60" s="28" t="s">
        <v>20</v>
      </c>
      <c r="J60" s="28" t="s">
        <v>21</v>
      </c>
      <c r="K60" s="28"/>
      <c r="L60" s="28"/>
      <c r="M60" s="28"/>
      <c r="N60" s="28"/>
      <c r="O60" s="28" t="s">
        <v>22</v>
      </c>
      <c r="P60" s="28" t="s">
        <v>49</v>
      </c>
      <c r="Q60" s="28" t="s">
        <v>23</v>
      </c>
      <c r="R60" s="28"/>
      <c r="S60" s="28" t="s">
        <v>71</v>
      </c>
      <c r="T60" s="28"/>
      <c r="U60" s="28" t="s">
        <v>72</v>
      </c>
      <c r="V60" s="28"/>
      <c r="W60" s="28"/>
      <c r="X60" s="28"/>
      <c r="Y60" s="28"/>
      <c r="Z60" s="28"/>
      <c r="AA60" s="28"/>
      <c r="AB60" s="28" t="s">
        <v>24</v>
      </c>
      <c r="AC60" s="28"/>
      <c r="AD60" s="28" t="s">
        <v>25</v>
      </c>
      <c r="AE60" s="116"/>
      <c r="AF60" s="116"/>
      <c r="AG60" s="116"/>
      <c r="AH60" s="28" t="s">
        <v>25</v>
      </c>
      <c r="AI60" s="116"/>
      <c r="AJ60" s="116"/>
      <c r="AK60" s="116"/>
      <c r="AL60" s="116"/>
      <c r="AZ60" s="28" t="s">
        <v>32</v>
      </c>
    </row>
    <row r="61" spans="1:52" ht="16" thickTop="1" x14ac:dyDescent="0.2">
      <c r="A61" s="250"/>
      <c r="B61" s="14" t="s">
        <v>0</v>
      </c>
      <c r="C61" s="2">
        <f t="shared" ref="C61:C72" si="89">VLOOKUP($B61,$B$10:$Q$23,2,FALSE)*(1+$C$57)</f>
        <v>83764598.774895117</v>
      </c>
      <c r="D61" s="2">
        <f t="shared" ref="D61:D72" si="90">VLOOKUP($B61,$B$10:$Q$23,3,FALSE)*(1+$C$57)</f>
        <v>13612048.563504905</v>
      </c>
      <c r="E61" s="2">
        <f t="shared" ref="E61:E72" si="91">AZ36</f>
        <v>51714079.352956168</v>
      </c>
      <c r="F61" s="4">
        <f t="shared" ref="F61:F72" si="92">C61-E61-D61</f>
        <v>18438470.858434044</v>
      </c>
      <c r="G61" s="1">
        <f>1-H61</f>
        <v>0.77987752429896207</v>
      </c>
      <c r="H61" s="1">
        <f t="shared" ref="H61:H73" si="93">MAX(0,F61/C61)</f>
        <v>0.22012247570103796</v>
      </c>
      <c r="I61" s="29">
        <f>MIN($C$5,($C$4*0.5))*$C$8</f>
        <v>0.03</v>
      </c>
      <c r="J61" s="2">
        <f t="shared" ref="J61:J72" si="94">I61*E61</f>
        <v>1551422.3805886849</v>
      </c>
      <c r="K61" s="2"/>
      <c r="L61" s="2"/>
      <c r="M61" s="2"/>
      <c r="N61" s="2"/>
      <c r="O61" s="16">
        <f t="shared" ref="O61:O72" si="95">H61/$H$74</f>
        <v>6.0568990689629953E-2</v>
      </c>
      <c r="P61" s="16">
        <f t="shared" ref="P61:P72" si="96">G61/$G$74</f>
        <v>9.3222597067420129E-2</v>
      </c>
      <c r="Q61" s="2">
        <f>$J$74*IF($J$74&lt;0,P61,O61)*0.5</f>
        <v>3905333.4700287273</v>
      </c>
      <c r="R61" s="2"/>
      <c r="S61" s="16">
        <f t="shared" ref="S61:S72" si="97">MAX(F61,0)/$F$73</f>
        <v>1.4255762972473896E-2</v>
      </c>
      <c r="T61" s="16"/>
      <c r="U61" s="2">
        <f t="shared" ref="U61:U72" si="98">S61*$J$74*0.5</f>
        <v>919175.10335417255</v>
      </c>
      <c r="V61" s="2"/>
      <c r="W61" s="2"/>
      <c r="X61" s="2"/>
      <c r="Y61" s="2"/>
      <c r="Z61" s="2"/>
      <c r="AA61" s="2"/>
      <c r="AB61" s="2">
        <f t="shared" ref="AB61:AB72" si="99">J61+Q61+U61</f>
        <v>6375930.9539715853</v>
      </c>
      <c r="AC61" s="2"/>
      <c r="AD61" s="16">
        <f t="shared" ref="AD61:AD73" si="100">AB61/E61</f>
        <v>0.12329197452119223</v>
      </c>
      <c r="AE61" s="16"/>
      <c r="AF61" s="16"/>
      <c r="AG61" s="16"/>
      <c r="AH61" s="16">
        <f t="shared" ref="AH61:AH73" si="101">AG61/H61</f>
        <v>0</v>
      </c>
      <c r="AI61" s="16"/>
      <c r="AJ61" s="16"/>
      <c r="AK61" s="16"/>
      <c r="AL61" s="16"/>
      <c r="AZ61" s="2">
        <f t="shared" ref="AZ61:AZ72" si="102">AB61+E61</f>
        <v>58090010.306927755</v>
      </c>
    </row>
    <row r="62" spans="1:52" x14ac:dyDescent="0.2">
      <c r="A62" s="250"/>
      <c r="B62" s="14" t="s">
        <v>1</v>
      </c>
      <c r="C62" s="2">
        <f t="shared" si="89"/>
        <v>178594595.1345349</v>
      </c>
      <c r="D62" s="2">
        <f t="shared" si="90"/>
        <v>60442657.208960995</v>
      </c>
      <c r="E62" s="2">
        <f t="shared" si="91"/>
        <v>60710561.291868508</v>
      </c>
      <c r="F62" s="4">
        <f t="shared" si="92"/>
        <v>57441376.633705392</v>
      </c>
      <c r="G62" s="1">
        <f t="shared" ref="G62:G72" si="103">1-H62</f>
        <v>0.67837001679454556</v>
      </c>
      <c r="H62" s="1">
        <f t="shared" si="93"/>
        <v>0.32162998320545444</v>
      </c>
      <c r="I62" s="29">
        <f t="shared" ref="I62:I72" si="104">MIN($C$5,($C$4*0.5))*$C$8</f>
        <v>0.03</v>
      </c>
      <c r="J62" s="2">
        <f t="shared" si="94"/>
        <v>1821316.8387560551</v>
      </c>
      <c r="K62" s="2"/>
      <c r="L62" s="2"/>
      <c r="M62" s="2"/>
      <c r="N62" s="2"/>
      <c r="O62" s="16">
        <f t="shared" si="95"/>
        <v>8.8499838084390353E-2</v>
      </c>
      <c r="P62" s="16">
        <f t="shared" si="96"/>
        <v>8.1088905331774166E-2</v>
      </c>
      <c r="Q62" s="2">
        <f t="shared" ref="Q62:Q72" si="105">$J$74*IF($J$74&lt;0,P62,O62)*0.5</f>
        <v>5706243.0102911834</v>
      </c>
      <c r="R62" s="2"/>
      <c r="S62" s="16">
        <f t="shared" si="97"/>
        <v>4.4410984858223229E-2</v>
      </c>
      <c r="T62" s="16"/>
      <c r="U62" s="2">
        <f t="shared" si="98"/>
        <v>2863506.6166531462</v>
      </c>
      <c r="V62" s="2"/>
      <c r="W62" s="2"/>
      <c r="X62" s="2"/>
      <c r="Y62" s="2"/>
      <c r="Z62" s="2"/>
      <c r="AA62" s="2"/>
      <c r="AB62" s="2">
        <f t="shared" si="99"/>
        <v>10391066.465700384</v>
      </c>
      <c r="AC62" s="2"/>
      <c r="AD62" s="16">
        <f t="shared" si="100"/>
        <v>0.1711574764684666</v>
      </c>
      <c r="AE62" s="16"/>
      <c r="AF62" s="16"/>
      <c r="AG62" s="16"/>
      <c r="AH62" s="16">
        <f t="shared" si="101"/>
        <v>0</v>
      </c>
      <c r="AI62" s="16"/>
      <c r="AJ62" s="16"/>
      <c r="AK62" s="16"/>
      <c r="AL62" s="16"/>
      <c r="AZ62" s="2">
        <f t="shared" si="102"/>
        <v>71101627.757568896</v>
      </c>
    </row>
    <row r="63" spans="1:52" x14ac:dyDescent="0.2">
      <c r="A63" s="250"/>
      <c r="B63" s="14" t="s">
        <v>2</v>
      </c>
      <c r="C63" s="2">
        <f t="shared" si="89"/>
        <v>123228563.76333608</v>
      </c>
      <c r="D63" s="2">
        <f t="shared" si="90"/>
        <v>28141848.828252435</v>
      </c>
      <c r="E63" s="2">
        <f t="shared" si="91"/>
        <v>43893396.867055207</v>
      </c>
      <c r="F63" s="4">
        <f t="shared" si="92"/>
        <v>51193318.068028435</v>
      </c>
      <c r="G63" s="1">
        <f t="shared" si="103"/>
        <v>0.58456613868886242</v>
      </c>
      <c r="H63" s="1">
        <f t="shared" si="93"/>
        <v>0.41543386131113758</v>
      </c>
      <c r="I63" s="29">
        <f t="shared" si="104"/>
        <v>0.03</v>
      </c>
      <c r="J63" s="2">
        <f t="shared" si="94"/>
        <v>1316801.9060116562</v>
      </c>
      <c r="K63" s="2"/>
      <c r="L63" s="2"/>
      <c r="M63" s="2"/>
      <c r="N63" s="2"/>
      <c r="O63" s="16">
        <f t="shared" si="95"/>
        <v>0.1143109516544142</v>
      </c>
      <c r="P63" s="16">
        <f t="shared" si="96"/>
        <v>6.9876066315970861E-2</v>
      </c>
      <c r="Q63" s="2">
        <f t="shared" si="105"/>
        <v>7370477.5398090249</v>
      </c>
      <c r="R63" s="2"/>
      <c r="S63" s="16">
        <f t="shared" si="97"/>
        <v>3.958027830808198E-2</v>
      </c>
      <c r="T63" s="16"/>
      <c r="U63" s="2">
        <f t="shared" si="98"/>
        <v>2552035.0243523093</v>
      </c>
      <c r="V63" s="2"/>
      <c r="W63" s="2"/>
      <c r="X63" s="2"/>
      <c r="Y63" s="2"/>
      <c r="Z63" s="2"/>
      <c r="AA63" s="2"/>
      <c r="AB63" s="2">
        <f t="shared" si="99"/>
        <v>11239314.47017299</v>
      </c>
      <c r="AC63" s="2"/>
      <c r="AD63" s="16">
        <f t="shared" si="100"/>
        <v>0.25605934542306552</v>
      </c>
      <c r="AE63" s="16"/>
      <c r="AF63" s="16"/>
      <c r="AG63" s="16"/>
      <c r="AH63" s="16">
        <f t="shared" si="101"/>
        <v>0</v>
      </c>
      <c r="AI63" s="16"/>
      <c r="AJ63" s="16"/>
      <c r="AK63" s="16"/>
      <c r="AL63" s="16"/>
      <c r="AZ63" s="2">
        <f t="shared" si="102"/>
        <v>55132711.337228194</v>
      </c>
    </row>
    <row r="64" spans="1:52" x14ac:dyDescent="0.2">
      <c r="A64" s="250"/>
      <c r="B64" s="14" t="s">
        <v>3</v>
      </c>
      <c r="C64" s="2">
        <f t="shared" si="89"/>
        <v>507799242.49468756</v>
      </c>
      <c r="D64" s="2">
        <f t="shared" si="90"/>
        <v>200750653.29035228</v>
      </c>
      <c r="E64" s="2">
        <f t="shared" si="91"/>
        <v>104651155.3559958</v>
      </c>
      <c r="F64" s="4">
        <f t="shared" si="92"/>
        <v>202397433.8483395</v>
      </c>
      <c r="G64" s="1">
        <f t="shared" si="103"/>
        <v>0.60142233995070027</v>
      </c>
      <c r="H64" s="1">
        <f t="shared" si="93"/>
        <v>0.39857766004929973</v>
      </c>
      <c r="I64" s="29">
        <f t="shared" si="104"/>
        <v>0.03</v>
      </c>
      <c r="J64" s="2">
        <f t="shared" si="94"/>
        <v>3139534.660679874</v>
      </c>
      <c r="K64" s="2"/>
      <c r="L64" s="2"/>
      <c r="M64" s="2"/>
      <c r="N64" s="2"/>
      <c r="O64" s="16">
        <f t="shared" si="95"/>
        <v>0.10967279240221035</v>
      </c>
      <c r="P64" s="16">
        <f t="shared" si="96"/>
        <v>7.1890970976458635E-2</v>
      </c>
      <c r="Q64" s="2">
        <f t="shared" si="105"/>
        <v>7071420.9043802898</v>
      </c>
      <c r="R64" s="2"/>
      <c r="S64" s="16">
        <f t="shared" si="97"/>
        <v>0.15648422612329038</v>
      </c>
      <c r="T64" s="16"/>
      <c r="U64" s="2">
        <f t="shared" si="98"/>
        <v>10089702.318837887</v>
      </c>
      <c r="V64" s="2"/>
      <c r="W64" s="2"/>
      <c r="X64" s="2"/>
      <c r="Y64" s="2"/>
      <c r="Z64" s="2"/>
      <c r="AA64" s="2"/>
      <c r="AB64" s="2">
        <f t="shared" si="99"/>
        <v>20300657.88389805</v>
      </c>
      <c r="AC64" s="2"/>
      <c r="AD64" s="16">
        <f t="shared" si="100"/>
        <v>0.19398407800506867</v>
      </c>
      <c r="AE64" s="16"/>
      <c r="AF64" s="16"/>
      <c r="AG64" s="16"/>
      <c r="AH64" s="16">
        <f t="shared" si="101"/>
        <v>0</v>
      </c>
      <c r="AI64" s="16"/>
      <c r="AJ64" s="16"/>
      <c r="AK64" s="16"/>
      <c r="AL64" s="16"/>
      <c r="AZ64" s="2">
        <f t="shared" si="102"/>
        <v>124951813.23989385</v>
      </c>
    </row>
    <row r="65" spans="1:52" x14ac:dyDescent="0.2">
      <c r="A65" s="250"/>
      <c r="B65" s="14" t="s">
        <v>4</v>
      </c>
      <c r="C65" s="2">
        <f t="shared" si="89"/>
        <v>182796604.87685752</v>
      </c>
      <c r="D65" s="2">
        <f t="shared" si="90"/>
        <v>30863805.96823677</v>
      </c>
      <c r="E65" s="2">
        <f t="shared" si="91"/>
        <v>62183107.315113276</v>
      </c>
      <c r="F65" s="4">
        <f t="shared" si="92"/>
        <v>89749691.593507469</v>
      </c>
      <c r="G65" s="1">
        <f t="shared" si="103"/>
        <v>0.50901882639467999</v>
      </c>
      <c r="H65" s="1">
        <f t="shared" si="93"/>
        <v>0.49098117360532001</v>
      </c>
      <c r="I65" s="29">
        <f t="shared" si="104"/>
        <v>0.03</v>
      </c>
      <c r="J65" s="2">
        <f t="shared" si="94"/>
        <v>1865493.2194533981</v>
      </c>
      <c r="K65" s="2"/>
      <c r="L65" s="2"/>
      <c r="M65" s="2"/>
      <c r="N65" s="2"/>
      <c r="O65" s="16">
        <f t="shared" si="95"/>
        <v>0.13509858108843717</v>
      </c>
      <c r="P65" s="16">
        <f t="shared" si="96"/>
        <v>6.0845524424334899E-2</v>
      </c>
      <c r="Q65" s="2">
        <f t="shared" si="105"/>
        <v>8710810.6717782114</v>
      </c>
      <c r="R65" s="2"/>
      <c r="S65" s="16">
        <f t="shared" si="97"/>
        <v>6.9390262350548168E-2</v>
      </c>
      <c r="T65" s="16"/>
      <c r="U65" s="2">
        <f t="shared" si="98"/>
        <v>4474106.4852854935</v>
      </c>
      <c r="V65" s="2"/>
      <c r="W65" s="2"/>
      <c r="X65" s="2"/>
      <c r="Y65" s="2"/>
      <c r="Z65" s="2"/>
      <c r="AA65" s="2"/>
      <c r="AB65" s="2">
        <f t="shared" si="99"/>
        <v>15050410.376517102</v>
      </c>
      <c r="AC65" s="2"/>
      <c r="AD65" s="16">
        <f t="shared" si="100"/>
        <v>0.2420337455998951</v>
      </c>
      <c r="AE65" s="16"/>
      <c r="AF65" s="16"/>
      <c r="AG65" s="16"/>
      <c r="AH65" s="16">
        <f t="shared" si="101"/>
        <v>0</v>
      </c>
      <c r="AI65" s="16"/>
      <c r="AJ65" s="16"/>
      <c r="AK65" s="16"/>
      <c r="AL65" s="16"/>
      <c r="AZ65" s="2">
        <f t="shared" si="102"/>
        <v>77233517.691630378</v>
      </c>
    </row>
    <row r="66" spans="1:52" x14ac:dyDescent="0.2">
      <c r="A66" s="250"/>
      <c r="B66" s="14" t="s">
        <v>5</v>
      </c>
      <c r="C66" s="2">
        <f t="shared" si="89"/>
        <v>432943168.02525836</v>
      </c>
      <c r="D66" s="2">
        <f t="shared" si="90"/>
        <v>137740758.17613229</v>
      </c>
      <c r="E66" s="2">
        <f t="shared" si="91"/>
        <v>122322372.19674315</v>
      </c>
      <c r="F66" s="4">
        <f t="shared" si="92"/>
        <v>172880037.65238294</v>
      </c>
      <c r="G66" s="1">
        <f t="shared" si="103"/>
        <v>0.60068653250512338</v>
      </c>
      <c r="H66" s="1">
        <f t="shared" si="93"/>
        <v>0.39931346749487667</v>
      </c>
      <c r="I66" s="29">
        <f t="shared" si="104"/>
        <v>0.03</v>
      </c>
      <c r="J66" s="2">
        <f t="shared" si="94"/>
        <v>3669671.1659022942</v>
      </c>
      <c r="K66" s="2"/>
      <c r="L66" s="2"/>
      <c r="M66" s="2"/>
      <c r="N66" s="2"/>
      <c r="O66" s="16">
        <f t="shared" si="95"/>
        <v>0.10987525748070165</v>
      </c>
      <c r="P66" s="16">
        <f t="shared" si="96"/>
        <v>7.1803016292702526E-2</v>
      </c>
      <c r="Q66" s="2">
        <f t="shared" si="105"/>
        <v>7084475.3343541315</v>
      </c>
      <c r="R66" s="2"/>
      <c r="S66" s="16">
        <f t="shared" si="97"/>
        <v>0.13366275643825509</v>
      </c>
      <c r="T66" s="16"/>
      <c r="U66" s="2">
        <f t="shared" si="98"/>
        <v>8618232.3738801684</v>
      </c>
      <c r="V66" s="2"/>
      <c r="W66" s="2"/>
      <c r="X66" s="2"/>
      <c r="Y66" s="2"/>
      <c r="Z66" s="2"/>
      <c r="AA66" s="2"/>
      <c r="AB66" s="2">
        <f t="shared" si="99"/>
        <v>19372378.874136597</v>
      </c>
      <c r="AC66" s="2"/>
      <c r="AD66" s="16">
        <f t="shared" si="100"/>
        <v>0.15837151067490818</v>
      </c>
      <c r="AE66" s="16"/>
      <c r="AF66" s="16"/>
      <c r="AG66" s="16"/>
      <c r="AH66" s="16">
        <f t="shared" si="101"/>
        <v>0</v>
      </c>
      <c r="AI66" s="16"/>
      <c r="AJ66" s="16"/>
      <c r="AK66" s="16"/>
      <c r="AL66" s="16"/>
      <c r="AZ66" s="2">
        <f t="shared" si="102"/>
        <v>141694751.07087976</v>
      </c>
    </row>
    <row r="67" spans="1:52" x14ac:dyDescent="0.2">
      <c r="A67" s="250"/>
      <c r="B67" s="14" t="s">
        <v>6</v>
      </c>
      <c r="C67" s="2">
        <f t="shared" si="89"/>
        <v>315719880.72216684</v>
      </c>
      <c r="D67" s="2">
        <f t="shared" si="90"/>
        <v>141350449.70830852</v>
      </c>
      <c r="E67" s="2">
        <f t="shared" si="91"/>
        <v>148532167.78332132</v>
      </c>
      <c r="F67" s="4">
        <f t="shared" si="92"/>
        <v>25837263.230536997</v>
      </c>
      <c r="G67" s="1">
        <f t="shared" si="103"/>
        <v>0.91816396493170549</v>
      </c>
      <c r="H67" s="1">
        <f t="shared" si="93"/>
        <v>8.1836035068294483E-2</v>
      </c>
      <c r="I67" s="29">
        <f t="shared" si="104"/>
        <v>0.03</v>
      </c>
      <c r="J67" s="2">
        <f t="shared" si="94"/>
        <v>4455965.0334996395</v>
      </c>
      <c r="K67" s="2"/>
      <c r="L67" s="2"/>
      <c r="M67" s="2"/>
      <c r="N67" s="2"/>
      <c r="O67" s="16">
        <f t="shared" si="95"/>
        <v>2.2518036971652985E-2</v>
      </c>
      <c r="P67" s="16">
        <f t="shared" si="96"/>
        <v>0.10975265561293616</v>
      </c>
      <c r="Q67" s="2">
        <f t="shared" si="105"/>
        <v>1451905.380351617</v>
      </c>
      <c r="R67" s="2"/>
      <c r="S67" s="16">
        <f t="shared" si="97"/>
        <v>1.9976163061454239E-2</v>
      </c>
      <c r="T67" s="16"/>
      <c r="U67" s="2">
        <f t="shared" si="98"/>
        <v>1288011.8575263878</v>
      </c>
      <c r="V67" s="2"/>
      <c r="W67" s="2"/>
      <c r="X67" s="2"/>
      <c r="Y67" s="2"/>
      <c r="Z67" s="2"/>
      <c r="AA67" s="2"/>
      <c r="AB67" s="2">
        <f t="shared" si="99"/>
        <v>7195882.2713776445</v>
      </c>
      <c r="AC67" s="2"/>
      <c r="AD67" s="16">
        <f t="shared" si="100"/>
        <v>4.8446625258139336E-2</v>
      </c>
      <c r="AE67" s="16"/>
      <c r="AF67" s="16"/>
      <c r="AG67" s="16"/>
      <c r="AH67" s="16">
        <f t="shared" si="101"/>
        <v>0</v>
      </c>
      <c r="AI67" s="16"/>
      <c r="AJ67" s="16"/>
      <c r="AK67" s="16"/>
      <c r="AL67" s="16"/>
      <c r="AZ67" s="2">
        <f t="shared" si="102"/>
        <v>155728050.05469897</v>
      </c>
    </row>
    <row r="68" spans="1:52" x14ac:dyDescent="0.2">
      <c r="A68" s="250"/>
      <c r="B68" s="14" t="s">
        <v>7</v>
      </c>
      <c r="C68" s="2">
        <f t="shared" si="89"/>
        <v>350453061.46675372</v>
      </c>
      <c r="D68" s="2">
        <f t="shared" si="90"/>
        <v>145375944.08930838</v>
      </c>
      <c r="E68" s="2">
        <f t="shared" si="91"/>
        <v>87228482.13108182</v>
      </c>
      <c r="F68" s="4">
        <f t="shared" si="92"/>
        <v>117848635.24636352</v>
      </c>
      <c r="G68" s="1">
        <f t="shared" si="103"/>
        <v>0.66372490868497258</v>
      </c>
      <c r="H68" s="1">
        <f t="shared" si="93"/>
        <v>0.33627509131502742</v>
      </c>
      <c r="I68" s="29">
        <f t="shared" si="104"/>
        <v>0.03</v>
      </c>
      <c r="J68" s="2">
        <f t="shared" si="94"/>
        <v>2616854.4639324546</v>
      </c>
      <c r="K68" s="2"/>
      <c r="L68" s="2"/>
      <c r="M68" s="2"/>
      <c r="N68" s="2"/>
      <c r="O68" s="16">
        <f t="shared" si="95"/>
        <v>9.252959203801249E-2</v>
      </c>
      <c r="P68" s="16">
        <f t="shared" si="96"/>
        <v>7.9338303513194042E-2</v>
      </c>
      <c r="Q68" s="2">
        <f t="shared" si="105"/>
        <v>5966071.2295148456</v>
      </c>
      <c r="R68" s="2"/>
      <c r="S68" s="16">
        <f t="shared" si="97"/>
        <v>9.1115050895515165E-2</v>
      </c>
      <c r="T68" s="16"/>
      <c r="U68" s="2">
        <f t="shared" si="98"/>
        <v>5874865.2377089877</v>
      </c>
      <c r="V68" s="2"/>
      <c r="W68" s="2"/>
      <c r="X68" s="2"/>
      <c r="Y68" s="2"/>
      <c r="Z68" s="2"/>
      <c r="AA68" s="2"/>
      <c r="AB68" s="2">
        <f t="shared" si="99"/>
        <v>14457790.931156287</v>
      </c>
      <c r="AC68" s="2"/>
      <c r="AD68" s="16">
        <f t="shared" si="100"/>
        <v>0.16574621703757234</v>
      </c>
      <c r="AE68" s="16"/>
      <c r="AF68" s="16"/>
      <c r="AG68" s="16"/>
      <c r="AH68" s="16">
        <f t="shared" si="101"/>
        <v>0</v>
      </c>
      <c r="AI68" s="16"/>
      <c r="AJ68" s="16"/>
      <c r="AK68" s="16"/>
      <c r="AL68" s="16"/>
      <c r="AZ68" s="2">
        <f t="shared" si="102"/>
        <v>101686273.06223811</v>
      </c>
    </row>
    <row r="69" spans="1:52" x14ac:dyDescent="0.2">
      <c r="A69" s="250"/>
      <c r="B69" s="14" t="s">
        <v>8</v>
      </c>
      <c r="C69" s="2">
        <f t="shared" si="89"/>
        <v>987613657.80223918</v>
      </c>
      <c r="D69" s="2">
        <f t="shared" si="90"/>
        <v>340440962.26603681</v>
      </c>
      <c r="E69" s="2">
        <f t="shared" si="91"/>
        <v>305898349.7141726</v>
      </c>
      <c r="F69" s="4">
        <f t="shared" si="92"/>
        <v>341274345.82202977</v>
      </c>
      <c r="G69" s="1">
        <f t="shared" si="103"/>
        <v>0.65444549786656869</v>
      </c>
      <c r="H69" s="1">
        <f t="shared" si="93"/>
        <v>0.34555450213343131</v>
      </c>
      <c r="I69" s="29">
        <f t="shared" si="104"/>
        <v>0.03</v>
      </c>
      <c r="J69" s="2">
        <f t="shared" si="94"/>
        <v>9176950.4914251771</v>
      </c>
      <c r="K69" s="2"/>
      <c r="L69" s="2"/>
      <c r="M69" s="2"/>
      <c r="N69" s="2"/>
      <c r="O69" s="16">
        <f t="shared" si="95"/>
        <v>9.5082918524438634E-2</v>
      </c>
      <c r="P69" s="16">
        <f t="shared" si="96"/>
        <v>7.8229089888240913E-2</v>
      </c>
      <c r="Q69" s="2">
        <f t="shared" si="105"/>
        <v>6130703.1851379415</v>
      </c>
      <c r="R69" s="2"/>
      <c r="S69" s="16">
        <f t="shared" si="97"/>
        <v>0.26385735671781907</v>
      </c>
      <c r="T69" s="16"/>
      <c r="U69" s="2">
        <f t="shared" si="98"/>
        <v>17012846.916728169</v>
      </c>
      <c r="V69" s="2"/>
      <c r="W69" s="2"/>
      <c r="X69" s="2"/>
      <c r="Y69" s="2"/>
      <c r="Z69" s="2"/>
      <c r="AA69" s="2"/>
      <c r="AB69" s="2">
        <f t="shared" si="99"/>
        <v>32320500.593291286</v>
      </c>
      <c r="AC69" s="2"/>
      <c r="AD69" s="16">
        <f t="shared" si="100"/>
        <v>0.10565764942338243</v>
      </c>
      <c r="AE69" s="16"/>
      <c r="AF69" s="16"/>
      <c r="AG69" s="16"/>
      <c r="AH69" s="16">
        <f t="shared" si="101"/>
        <v>0</v>
      </c>
      <c r="AI69" s="16"/>
      <c r="AJ69" s="16"/>
      <c r="AK69" s="16"/>
      <c r="AL69" s="16"/>
      <c r="AZ69" s="2">
        <f t="shared" si="102"/>
        <v>338218850.30746388</v>
      </c>
    </row>
    <row r="70" spans="1:52" x14ac:dyDescent="0.2">
      <c r="A70" s="250"/>
      <c r="B70" s="14" t="s">
        <v>9</v>
      </c>
      <c r="C70" s="2">
        <f t="shared" si="89"/>
        <v>99424196.436940685</v>
      </c>
      <c r="D70" s="2">
        <f t="shared" si="90"/>
        <v>42722406.029137544</v>
      </c>
      <c r="E70" s="2">
        <f t="shared" si="91"/>
        <v>35755576.664463967</v>
      </c>
      <c r="F70" s="4">
        <f t="shared" si="92"/>
        <v>20946213.743339173</v>
      </c>
      <c r="G70" s="1">
        <f t="shared" si="103"/>
        <v>0.7893247871847352</v>
      </c>
      <c r="H70" s="1">
        <f t="shared" si="93"/>
        <v>0.21067521281526483</v>
      </c>
      <c r="I70" s="29">
        <f t="shared" si="104"/>
        <v>0.03</v>
      </c>
      <c r="J70" s="2">
        <f t="shared" si="94"/>
        <v>1072667.299933919</v>
      </c>
      <c r="K70" s="2"/>
      <c r="L70" s="2"/>
      <c r="M70" s="2"/>
      <c r="N70" s="2"/>
      <c r="O70" s="16">
        <f t="shared" si="95"/>
        <v>5.796947795950768E-2</v>
      </c>
      <c r="P70" s="16">
        <f t="shared" si="96"/>
        <v>9.4351874875729949E-2</v>
      </c>
      <c r="Q70" s="2">
        <f t="shared" si="105"/>
        <v>3737723.5436435682</v>
      </c>
      <c r="R70" s="2"/>
      <c r="S70" s="16">
        <f t="shared" si="97"/>
        <v>1.619463243933985E-2</v>
      </c>
      <c r="T70" s="16"/>
      <c r="U70" s="2">
        <f t="shared" si="98"/>
        <v>1044188.443295212</v>
      </c>
      <c r="V70" s="2"/>
      <c r="W70" s="2"/>
      <c r="X70" s="2"/>
      <c r="Y70" s="2"/>
      <c r="Z70" s="2"/>
      <c r="AA70" s="2"/>
      <c r="AB70" s="2">
        <f t="shared" si="99"/>
        <v>5854579.2868726999</v>
      </c>
      <c r="AC70" s="2"/>
      <c r="AD70" s="16">
        <f t="shared" si="100"/>
        <v>0.16373891384309097</v>
      </c>
      <c r="AE70" s="16"/>
      <c r="AF70" s="16"/>
      <c r="AG70" s="16"/>
      <c r="AH70" s="16">
        <f t="shared" si="101"/>
        <v>0</v>
      </c>
      <c r="AI70" s="16"/>
      <c r="AJ70" s="16"/>
      <c r="AK70" s="16"/>
      <c r="AL70" s="16"/>
      <c r="AZ70" s="2">
        <f t="shared" si="102"/>
        <v>41610155.951336667</v>
      </c>
    </row>
    <row r="71" spans="1:52" x14ac:dyDescent="0.2">
      <c r="A71" s="250"/>
      <c r="B71" s="14" t="s">
        <v>10</v>
      </c>
      <c r="C71" s="2">
        <f t="shared" si="89"/>
        <v>1324697276.5492246</v>
      </c>
      <c r="D71" s="2">
        <f t="shared" si="90"/>
        <v>856165385.5894978</v>
      </c>
      <c r="E71" s="2">
        <f t="shared" si="91"/>
        <v>340045799.27588129</v>
      </c>
      <c r="F71" s="4">
        <f t="shared" si="92"/>
        <v>128486091.68384552</v>
      </c>
      <c r="G71" s="1">
        <f t="shared" si="103"/>
        <v>0.90300720477168495</v>
      </c>
      <c r="H71" s="1">
        <f t="shared" si="93"/>
        <v>9.6992795228315012E-2</v>
      </c>
      <c r="I71" s="29">
        <f t="shared" si="104"/>
        <v>0.03</v>
      </c>
      <c r="J71" s="2">
        <f t="shared" si="94"/>
        <v>10201373.978276439</v>
      </c>
      <c r="K71" s="2"/>
      <c r="L71" s="2"/>
      <c r="M71" s="2"/>
      <c r="N71" s="2"/>
      <c r="O71" s="16">
        <f t="shared" si="95"/>
        <v>2.6688577313312922E-2</v>
      </c>
      <c r="P71" s="16">
        <f t="shared" si="96"/>
        <v>0.1079408935077066</v>
      </c>
      <c r="Q71" s="2">
        <f t="shared" si="105"/>
        <v>1720811.1454790218</v>
      </c>
      <c r="R71" s="2"/>
      <c r="S71" s="16">
        <f t="shared" si="97"/>
        <v>9.9339434509918598E-2</v>
      </c>
      <c r="T71" s="16"/>
      <c r="U71" s="2">
        <f t="shared" si="98"/>
        <v>6405152.439691118</v>
      </c>
      <c r="V71" s="2"/>
      <c r="W71" s="2"/>
      <c r="X71" s="2"/>
      <c r="Y71" s="2"/>
      <c r="Z71" s="2"/>
      <c r="AA71" s="2"/>
      <c r="AB71" s="2">
        <f t="shared" si="99"/>
        <v>18327337.563446578</v>
      </c>
      <c r="AC71" s="2"/>
      <c r="AD71" s="16">
        <f t="shared" si="100"/>
        <v>5.3896673925906947E-2</v>
      </c>
      <c r="AE71" s="16"/>
      <c r="AF71" s="16"/>
      <c r="AG71" s="16"/>
      <c r="AH71" s="16">
        <f t="shared" si="101"/>
        <v>0</v>
      </c>
      <c r="AI71" s="16"/>
      <c r="AJ71" s="16"/>
      <c r="AK71" s="16"/>
      <c r="AL71" s="16"/>
      <c r="AZ71" s="2">
        <f t="shared" si="102"/>
        <v>358373136.83932787</v>
      </c>
    </row>
    <row r="72" spans="1:52" x14ac:dyDescent="0.2">
      <c r="A72" s="250"/>
      <c r="B72" s="14" t="s">
        <v>11</v>
      </c>
      <c r="C72" s="2">
        <f t="shared" si="89"/>
        <v>211177241.66064978</v>
      </c>
      <c r="D72" s="2">
        <f t="shared" si="90"/>
        <v>74368463.483210385</v>
      </c>
      <c r="E72" s="2">
        <f t="shared" si="91"/>
        <v>69896954.611347035</v>
      </c>
      <c r="F72" s="4">
        <f t="shared" si="92"/>
        <v>66911823.566092372</v>
      </c>
      <c r="G72" s="1">
        <f t="shared" si="103"/>
        <v>0.68314851051224545</v>
      </c>
      <c r="H72" s="1">
        <f t="shared" si="93"/>
        <v>0.31685148948775455</v>
      </c>
      <c r="I72" s="29">
        <f t="shared" si="104"/>
        <v>0.03</v>
      </c>
      <c r="J72" s="2">
        <f t="shared" si="94"/>
        <v>2096908.638340411</v>
      </c>
      <c r="K72" s="2"/>
      <c r="L72" s="2"/>
      <c r="M72" s="2"/>
      <c r="N72" s="2"/>
      <c r="O72" s="16">
        <f t="shared" si="95"/>
        <v>8.7184985793291689E-2</v>
      </c>
      <c r="P72" s="16">
        <f t="shared" si="96"/>
        <v>8.1660102193531106E-2</v>
      </c>
      <c r="Q72" s="2">
        <f t="shared" si="105"/>
        <v>5621464.700431536</v>
      </c>
      <c r="R72" s="2"/>
      <c r="S72" s="16">
        <f t="shared" si="97"/>
        <v>5.173309132508061E-2</v>
      </c>
      <c r="T72" s="16"/>
      <c r="U72" s="2">
        <f t="shared" si="98"/>
        <v>3335617.2978870627</v>
      </c>
      <c r="V72" s="2"/>
      <c r="W72" s="2"/>
      <c r="X72" s="2"/>
      <c r="Y72" s="2"/>
      <c r="Z72" s="2"/>
      <c r="AA72" s="2"/>
      <c r="AB72" s="2">
        <f t="shared" si="99"/>
        <v>11053990.636659009</v>
      </c>
      <c r="AC72" s="2"/>
      <c r="AD72" s="16">
        <f t="shared" si="100"/>
        <v>0.15814695644643309</v>
      </c>
      <c r="AE72" s="16"/>
      <c r="AF72" s="16"/>
      <c r="AG72" s="16"/>
      <c r="AH72" s="16">
        <f t="shared" si="101"/>
        <v>0</v>
      </c>
      <c r="AI72" s="16"/>
      <c r="AJ72" s="16"/>
      <c r="AK72" s="16"/>
      <c r="AL72" s="16"/>
      <c r="AZ72" s="2">
        <f t="shared" si="102"/>
        <v>80950945.248006046</v>
      </c>
    </row>
    <row r="73" spans="1:52" x14ac:dyDescent="0.2">
      <c r="A73" s="250"/>
      <c r="B73" s="15" t="s">
        <v>14</v>
      </c>
      <c r="C73" s="30">
        <f>SUM(C61:C72)</f>
        <v>4798212087.7075443</v>
      </c>
      <c r="D73" s="30">
        <f>SUM(D61:D72)</f>
        <v>2071975383.2009392</v>
      </c>
      <c r="E73" s="30">
        <f>SUM(E61:E72)</f>
        <v>1432832002.5600002</v>
      </c>
      <c r="F73" s="30">
        <f>SUM(F61:F72)</f>
        <v>1293404701.9466047</v>
      </c>
      <c r="G73" s="1">
        <f>1-H73</f>
        <v>0.73044028102464342</v>
      </c>
      <c r="H73" s="11">
        <f t="shared" si="93"/>
        <v>0.26955971897535658</v>
      </c>
      <c r="J73" s="30">
        <f>SUM(J61:J72)</f>
        <v>42984960.076800004</v>
      </c>
      <c r="K73" s="30"/>
      <c r="L73" s="30"/>
      <c r="M73" s="30"/>
      <c r="N73" s="30"/>
      <c r="Q73" s="30">
        <f>SUM(Q61:Q72)</f>
        <v>64477440.115200102</v>
      </c>
      <c r="R73" s="30"/>
      <c r="S73" s="30"/>
      <c r="T73" s="30"/>
      <c r="U73" s="30">
        <f>SUM(U61:U72)</f>
        <v>64477440.115200117</v>
      </c>
      <c r="V73" s="30"/>
      <c r="W73" s="30"/>
      <c r="X73" s="30"/>
      <c r="Y73" s="30"/>
      <c r="Z73" s="30"/>
      <c r="AA73" s="30"/>
      <c r="AB73" s="30">
        <f>SUM(AB61:AB72)</f>
        <v>171939840.30720022</v>
      </c>
      <c r="AC73" s="30"/>
      <c r="AD73" s="16">
        <f t="shared" si="100"/>
        <v>0.12000000000000013</v>
      </c>
      <c r="AE73" s="16"/>
      <c r="AF73" s="16"/>
      <c r="AG73" s="16"/>
      <c r="AH73" s="16">
        <f t="shared" si="101"/>
        <v>0</v>
      </c>
      <c r="AI73" s="16"/>
      <c r="AJ73" s="16"/>
      <c r="AK73" s="16"/>
      <c r="AL73" s="16"/>
      <c r="AZ73" s="3">
        <f>SUM(AZ61:AZ72)</f>
        <v>1604771842.8672004</v>
      </c>
    </row>
    <row r="74" spans="1:52" x14ac:dyDescent="0.2">
      <c r="C74" s="30"/>
      <c r="D74" s="30"/>
      <c r="E74" s="30"/>
      <c r="F74" s="30"/>
      <c r="G74" s="21">
        <f>SUM(G61:G72)</f>
        <v>8.3657562525847862</v>
      </c>
      <c r="H74" s="21">
        <f>SUM(H61:H72)</f>
        <v>3.6342437474152138</v>
      </c>
      <c r="I74" s="10" t="s">
        <v>30</v>
      </c>
      <c r="J74" s="17">
        <f>C56-SUM(J61:J72)</f>
        <v>128954880.23040019</v>
      </c>
      <c r="K74" s="17"/>
      <c r="L74" s="17"/>
      <c r="M74" s="17"/>
      <c r="N74" s="17"/>
    </row>
    <row r="77" spans="1:52" x14ac:dyDescent="0.2">
      <c r="A77" s="250">
        <v>3</v>
      </c>
      <c r="B77" t="s">
        <v>34</v>
      </c>
      <c r="C77" s="4">
        <f>AZ73</f>
        <v>1604771842.8672004</v>
      </c>
      <c r="D77" s="4"/>
    </row>
    <row r="78" spans="1:52" x14ac:dyDescent="0.2">
      <c r="A78" s="250"/>
      <c r="B78" t="s">
        <v>27</v>
      </c>
      <c r="C78" s="6">
        <f>C77*(1+C79)</f>
        <v>1797344464.0112646</v>
      </c>
      <c r="D78" s="6"/>
    </row>
    <row r="79" spans="1:52" x14ac:dyDescent="0.2">
      <c r="A79" s="250"/>
      <c r="B79" t="s">
        <v>28</v>
      </c>
      <c r="C79" s="20">
        <f>C4</f>
        <v>0.12</v>
      </c>
      <c r="D79" s="20"/>
    </row>
    <row r="80" spans="1:52" x14ac:dyDescent="0.2">
      <c r="A80" s="250"/>
      <c r="B80" t="s">
        <v>16</v>
      </c>
      <c r="C80" s="20">
        <f>C5</f>
        <v>0.03</v>
      </c>
      <c r="D80" s="20"/>
    </row>
    <row r="81" spans="1:52" x14ac:dyDescent="0.2">
      <c r="A81" s="250"/>
      <c r="B81" t="s">
        <v>31</v>
      </c>
      <c r="C81" s="6">
        <f>C78-C77</f>
        <v>192572621.14406419</v>
      </c>
      <c r="D81" s="6"/>
    </row>
    <row r="82" spans="1:52" x14ac:dyDescent="0.2">
      <c r="A82" s="250"/>
      <c r="B82" t="s">
        <v>48</v>
      </c>
      <c r="C82" s="20">
        <f>((1+$C$5)^A77)-1</f>
        <v>9.2727000000000004E-2</v>
      </c>
      <c r="D82" s="20"/>
      <c r="F82" s="35"/>
    </row>
    <row r="83" spans="1:52" ht="21" x14ac:dyDescent="0.25">
      <c r="A83" s="250"/>
      <c r="F83" s="6"/>
      <c r="G83" s="6"/>
      <c r="I83" s="251" t="s">
        <v>18</v>
      </c>
      <c r="J83" s="251"/>
      <c r="K83" s="251"/>
      <c r="L83" s="251"/>
      <c r="M83" s="251"/>
      <c r="N83" s="251"/>
      <c r="O83" s="251"/>
      <c r="P83" s="251"/>
      <c r="Q83" s="251"/>
      <c r="R83" s="251"/>
      <c r="S83" s="251"/>
      <c r="T83" s="251"/>
      <c r="U83" s="251"/>
      <c r="V83" s="251"/>
      <c r="W83" s="251"/>
      <c r="X83" s="251"/>
      <c r="Y83" s="251"/>
      <c r="Z83" s="251"/>
      <c r="AA83" s="251"/>
      <c r="AB83" s="251"/>
      <c r="AC83" s="251"/>
      <c r="AD83" s="251"/>
      <c r="AE83" s="107"/>
      <c r="AF83" s="107"/>
      <c r="AG83" s="107"/>
      <c r="AH83" s="107"/>
      <c r="AI83" s="107"/>
      <c r="AJ83" s="107"/>
      <c r="AK83" s="107"/>
      <c r="AL83" s="107"/>
    </row>
    <row r="84" spans="1:52" x14ac:dyDescent="0.2">
      <c r="A84" s="250" t="s">
        <v>51</v>
      </c>
      <c r="C84" s="9"/>
      <c r="I84" s="255" t="s">
        <v>19</v>
      </c>
      <c r="J84" s="255"/>
      <c r="K84" s="255"/>
      <c r="L84" s="255"/>
      <c r="M84" s="255"/>
      <c r="N84" s="255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  <c r="AC84" s="255"/>
      <c r="AD84" s="255"/>
      <c r="AE84" s="115"/>
      <c r="AF84" s="115"/>
      <c r="AG84" s="115"/>
      <c r="AH84" s="115"/>
      <c r="AI84" s="115"/>
      <c r="AJ84" s="115"/>
      <c r="AK84" s="115"/>
      <c r="AL84" s="115"/>
    </row>
    <row r="85" spans="1:52" ht="49" thickBot="1" x14ac:dyDescent="0.25">
      <c r="A85" s="250"/>
      <c r="B85" s="22" t="s">
        <v>12</v>
      </c>
      <c r="C85" s="13" t="s">
        <v>15</v>
      </c>
      <c r="D85" s="13" t="s">
        <v>63</v>
      </c>
      <c r="E85" s="13" t="s">
        <v>29</v>
      </c>
      <c r="F85" s="13" t="s">
        <v>13</v>
      </c>
      <c r="G85" s="13" t="s">
        <v>50</v>
      </c>
      <c r="H85" s="13" t="s">
        <v>17</v>
      </c>
      <c r="I85" s="28" t="s">
        <v>20</v>
      </c>
      <c r="J85" s="28" t="s">
        <v>21</v>
      </c>
      <c r="K85" s="28"/>
      <c r="L85" s="28"/>
      <c r="M85" s="28"/>
      <c r="N85" s="28"/>
      <c r="O85" s="28" t="s">
        <v>22</v>
      </c>
      <c r="P85" s="28" t="s">
        <v>49</v>
      </c>
      <c r="Q85" s="28" t="s">
        <v>23</v>
      </c>
      <c r="R85" s="28"/>
      <c r="S85" s="28" t="s">
        <v>71</v>
      </c>
      <c r="T85" s="28"/>
      <c r="U85" s="28" t="s">
        <v>72</v>
      </c>
      <c r="V85" s="28"/>
      <c r="W85" s="28"/>
      <c r="X85" s="28"/>
      <c r="Y85" s="28"/>
      <c r="Z85" s="28"/>
      <c r="AA85" s="28"/>
      <c r="AB85" s="28" t="s">
        <v>24</v>
      </c>
      <c r="AC85" s="28"/>
      <c r="AD85" s="28" t="s">
        <v>25</v>
      </c>
      <c r="AE85" s="116"/>
      <c r="AF85" s="116"/>
      <c r="AG85" s="116"/>
      <c r="AH85" s="28" t="s">
        <v>25</v>
      </c>
      <c r="AI85" s="116"/>
      <c r="AJ85" s="116"/>
      <c r="AK85" s="116"/>
      <c r="AL85" s="116"/>
      <c r="AZ85" s="28" t="s">
        <v>32</v>
      </c>
    </row>
    <row r="86" spans="1:52" ht="16" thickTop="1" x14ac:dyDescent="0.2">
      <c r="A86" s="250"/>
      <c r="B86" s="14" t="s">
        <v>0</v>
      </c>
      <c r="C86" s="2">
        <f t="shared" ref="C86:C97" si="106">VLOOKUP($B86,$B$10:$Q$23,2,FALSE)*(1+$C$82)</f>
        <v>86277536.738141969</v>
      </c>
      <c r="D86" s="2">
        <f t="shared" ref="D86:D97" si="107">VLOOKUP($B86,$B$10:$Q$23,3,FALSE)*(1+$C$82)</f>
        <v>14020410.020410053</v>
      </c>
      <c r="E86" s="2">
        <f t="shared" ref="E86:E97" si="108">AZ61</f>
        <v>58090010.306927755</v>
      </c>
      <c r="F86" s="4">
        <f t="shared" ref="F86:F97" si="109">C86-E86-D86</f>
        <v>14167116.41080416</v>
      </c>
      <c r="G86" s="1">
        <f>1-H86</f>
        <v>0.83579600268604914</v>
      </c>
      <c r="H86" s="1">
        <f t="shared" ref="H86:H98" si="110">MAX(0,F86/C86)</f>
        <v>0.16420399731395086</v>
      </c>
      <c r="I86" s="29">
        <f>MIN($C$5,($C$4*0.5))*$C$8</f>
        <v>0.03</v>
      </c>
      <c r="J86" s="2">
        <f t="shared" ref="J86:J97" si="111">I86*E86</f>
        <v>1742700.3092078327</v>
      </c>
      <c r="K86" s="2"/>
      <c r="L86" s="2"/>
      <c r="M86" s="2"/>
      <c r="N86" s="2"/>
      <c r="O86" s="16">
        <f t="shared" ref="O86:O97" si="112">H86/$H$99</f>
        <v>5.2001141005322597E-2</v>
      </c>
      <c r="P86" s="16">
        <f t="shared" ref="P86:P97" si="113">G86/$G$99</f>
        <v>9.4522465018925667E-2</v>
      </c>
      <c r="Q86" s="2">
        <f>$J$99*IF($J$99&lt;0,P86,O86)*0.5</f>
        <v>3755248.5097038946</v>
      </c>
      <c r="R86" s="2"/>
      <c r="S86" s="16">
        <f t="shared" ref="S86:S97" si="114">MAX(F86,0)/$F$98</f>
        <v>1.1774023104966246E-2</v>
      </c>
      <c r="T86" s="16"/>
      <c r="U86" s="2">
        <f t="shared" ref="U86:U97" si="115">S86*$J$99*0.5</f>
        <v>850257.93402529636</v>
      </c>
      <c r="V86" s="2"/>
      <c r="W86" s="2"/>
      <c r="X86" s="2"/>
      <c r="Y86" s="2"/>
      <c r="Z86" s="2"/>
      <c r="AA86" s="2"/>
      <c r="AB86" s="2">
        <f t="shared" ref="AB86:AB97" si="116">J86+Q86+U86</f>
        <v>6348206.7529370235</v>
      </c>
      <c r="AC86" s="2"/>
      <c r="AD86" s="16">
        <f t="shared" ref="AD86:AD98" si="117">AB86/E86</f>
        <v>0.10928224525000545</v>
      </c>
      <c r="AE86" s="16"/>
      <c r="AF86" s="16"/>
      <c r="AG86" s="16"/>
      <c r="AH86" s="16">
        <f t="shared" ref="AH86:AH98" si="118">AG86/H86</f>
        <v>0</v>
      </c>
      <c r="AI86" s="16"/>
      <c r="AJ86" s="16"/>
      <c r="AK86" s="16"/>
      <c r="AL86" s="16"/>
      <c r="AZ86" s="2">
        <f t="shared" ref="AZ86:AZ97" si="119">AB86+E86</f>
        <v>64438217.059864782</v>
      </c>
    </row>
    <row r="87" spans="1:52" x14ac:dyDescent="0.2">
      <c r="A87" s="250"/>
      <c r="B87" s="14" t="s">
        <v>1</v>
      </c>
      <c r="C87" s="2">
        <f t="shared" si="106"/>
        <v>183952432.98857096</v>
      </c>
      <c r="D87" s="2">
        <f t="shared" si="107"/>
        <v>62255936.925229825</v>
      </c>
      <c r="E87" s="2">
        <f t="shared" si="108"/>
        <v>71101627.757568896</v>
      </c>
      <c r="F87" s="4">
        <f t="shared" si="109"/>
        <v>50594868.305772237</v>
      </c>
      <c r="G87" s="1">
        <f t="shared" ref="G87:G97" si="120">1-H87</f>
        <v>0.72495678647036044</v>
      </c>
      <c r="H87" s="1">
        <f t="shared" si="110"/>
        <v>0.27504321352963956</v>
      </c>
      <c r="I87" s="29">
        <f t="shared" ref="I87:I97" si="121">MIN($C$5,($C$4*0.5))*$C$8</f>
        <v>0.03</v>
      </c>
      <c r="J87" s="2">
        <f t="shared" si="111"/>
        <v>2133048.8327270667</v>
      </c>
      <c r="K87" s="2"/>
      <c r="L87" s="2"/>
      <c r="M87" s="2"/>
      <c r="N87" s="2"/>
      <c r="O87" s="16">
        <f t="shared" si="112"/>
        <v>8.710239192268851E-2</v>
      </c>
      <c r="P87" s="16">
        <f t="shared" si="113"/>
        <v>8.1987353695345933E-2</v>
      </c>
      <c r="Q87" s="2">
        <f t="shared" ref="Q87:Q97" si="122">$J$99*IF($J$99&lt;0,P87,O87)*0.5</f>
        <v>6290075.9701761352</v>
      </c>
      <c r="R87" s="2"/>
      <c r="S87" s="16">
        <f t="shared" si="114"/>
        <v>4.2048440286026639E-2</v>
      </c>
      <c r="T87" s="16"/>
      <c r="U87" s="2">
        <f t="shared" si="115"/>
        <v>3036516.885337431</v>
      </c>
      <c r="V87" s="2"/>
      <c r="W87" s="2"/>
      <c r="X87" s="2"/>
      <c r="Y87" s="2"/>
      <c r="Z87" s="2"/>
      <c r="AA87" s="2"/>
      <c r="AB87" s="2">
        <f t="shared" si="116"/>
        <v>11459641.688240632</v>
      </c>
      <c r="AC87" s="2"/>
      <c r="AD87" s="16">
        <f t="shared" si="117"/>
        <v>0.16117270517791674</v>
      </c>
      <c r="AE87" s="16"/>
      <c r="AF87" s="16"/>
      <c r="AG87" s="16"/>
      <c r="AH87" s="16">
        <f t="shared" si="118"/>
        <v>0</v>
      </c>
      <c r="AI87" s="16"/>
      <c r="AJ87" s="16"/>
      <c r="AK87" s="16"/>
      <c r="AL87" s="16"/>
      <c r="AZ87" s="2">
        <f t="shared" si="119"/>
        <v>82561269.445809528</v>
      </c>
    </row>
    <row r="88" spans="1:52" x14ac:dyDescent="0.2">
      <c r="A88" s="250"/>
      <c r="B88" s="14" t="s">
        <v>2</v>
      </c>
      <c r="C88" s="2">
        <f t="shared" si="106"/>
        <v>126925420.67623617</v>
      </c>
      <c r="D88" s="2">
        <f t="shared" si="107"/>
        <v>28986104.293100011</v>
      </c>
      <c r="E88" s="2">
        <f t="shared" si="108"/>
        <v>55132711.337228194</v>
      </c>
      <c r="F88" s="4">
        <f t="shared" si="109"/>
        <v>42806605.045907959</v>
      </c>
      <c r="G88" s="1">
        <f t="shared" si="120"/>
        <v>0.66274206681496939</v>
      </c>
      <c r="H88" s="1">
        <f t="shared" si="110"/>
        <v>0.33725793318503061</v>
      </c>
      <c r="I88" s="29">
        <f t="shared" si="121"/>
        <v>0.03</v>
      </c>
      <c r="J88" s="2">
        <f t="shared" si="111"/>
        <v>1653981.3401168457</v>
      </c>
      <c r="K88" s="2"/>
      <c r="L88" s="2"/>
      <c r="M88" s="2"/>
      <c r="N88" s="2"/>
      <c r="O88" s="16">
        <f t="shared" si="112"/>
        <v>0.10680493548026693</v>
      </c>
      <c r="P88" s="16">
        <f t="shared" si="113"/>
        <v>7.4951320209435679E-2</v>
      </c>
      <c r="Q88" s="2">
        <f t="shared" si="122"/>
        <v>7712889.8912091246</v>
      </c>
      <c r="R88" s="2"/>
      <c r="S88" s="16">
        <f t="shared" si="114"/>
        <v>3.5575761661089958E-2</v>
      </c>
      <c r="T88" s="16"/>
      <c r="U88" s="2">
        <f t="shared" si="115"/>
        <v>2569094.1271022256</v>
      </c>
      <c r="V88" s="2"/>
      <c r="W88" s="2"/>
      <c r="X88" s="2"/>
      <c r="Y88" s="2"/>
      <c r="Z88" s="2"/>
      <c r="AA88" s="2"/>
      <c r="AB88" s="2">
        <f t="shared" si="116"/>
        <v>11935965.358428197</v>
      </c>
      <c r="AC88" s="2"/>
      <c r="AD88" s="16">
        <f t="shared" si="117"/>
        <v>0.21649516355943252</v>
      </c>
      <c r="AE88" s="16"/>
      <c r="AF88" s="16"/>
      <c r="AG88" s="16"/>
      <c r="AH88" s="16">
        <f t="shared" si="118"/>
        <v>0</v>
      </c>
      <c r="AI88" s="16"/>
      <c r="AJ88" s="16"/>
      <c r="AK88" s="16"/>
      <c r="AL88" s="16"/>
      <c r="AZ88" s="2">
        <f t="shared" si="119"/>
        <v>67068676.695656389</v>
      </c>
    </row>
    <row r="89" spans="1:52" x14ac:dyDescent="0.2">
      <c r="A89" s="250"/>
      <c r="B89" s="14" t="s">
        <v>3</v>
      </c>
      <c r="C89" s="2">
        <f t="shared" si="106"/>
        <v>523033219.76952821</v>
      </c>
      <c r="D89" s="2">
        <f t="shared" si="107"/>
        <v>206773172.88906288</v>
      </c>
      <c r="E89" s="2">
        <f t="shared" si="108"/>
        <v>124951813.23989385</v>
      </c>
      <c r="F89" s="4">
        <f t="shared" si="109"/>
        <v>191308233.64057148</v>
      </c>
      <c r="G89" s="1">
        <f t="shared" si="120"/>
        <v>0.63423311099652446</v>
      </c>
      <c r="H89" s="1">
        <f t="shared" si="110"/>
        <v>0.36576688900347559</v>
      </c>
      <c r="I89" s="29">
        <f t="shared" si="121"/>
        <v>0.03</v>
      </c>
      <c r="J89" s="2">
        <f t="shared" si="111"/>
        <v>3748554.3971968153</v>
      </c>
      <c r="K89" s="2"/>
      <c r="L89" s="2"/>
      <c r="M89" s="2"/>
      <c r="N89" s="2"/>
      <c r="O89" s="16">
        <f t="shared" si="112"/>
        <v>0.11583332855035156</v>
      </c>
      <c r="P89" s="16">
        <f t="shared" si="113"/>
        <v>7.1727164111039882E-2</v>
      </c>
      <c r="Q89" s="2">
        <f t="shared" si="122"/>
        <v>8364872.8855435383</v>
      </c>
      <c r="R89" s="2"/>
      <c r="S89" s="16">
        <f t="shared" si="114"/>
        <v>0.1589926628496246</v>
      </c>
      <c r="T89" s="16"/>
      <c r="U89" s="2">
        <f t="shared" si="115"/>
        <v>11481612.685360011</v>
      </c>
      <c r="V89" s="2"/>
      <c r="W89" s="2"/>
      <c r="X89" s="2"/>
      <c r="Y89" s="2"/>
      <c r="Z89" s="2"/>
      <c r="AA89" s="2"/>
      <c r="AB89" s="2">
        <f t="shared" si="116"/>
        <v>23595039.968100365</v>
      </c>
      <c r="AC89" s="2"/>
      <c r="AD89" s="16">
        <f t="shared" si="117"/>
        <v>0.18883311379243822</v>
      </c>
      <c r="AE89" s="16"/>
      <c r="AF89" s="16"/>
      <c r="AG89" s="16"/>
      <c r="AH89" s="16">
        <f t="shared" si="118"/>
        <v>0</v>
      </c>
      <c r="AI89" s="16"/>
      <c r="AJ89" s="16"/>
      <c r="AK89" s="16"/>
      <c r="AL89" s="16"/>
      <c r="AZ89" s="2">
        <f t="shared" si="119"/>
        <v>148546853.20799422</v>
      </c>
    </row>
    <row r="90" spans="1:52" x14ac:dyDescent="0.2">
      <c r="A90" s="250"/>
      <c r="B90" s="14" t="s">
        <v>4</v>
      </c>
      <c r="C90" s="2">
        <f t="shared" si="106"/>
        <v>188280503.02316326</v>
      </c>
      <c r="D90" s="2">
        <f t="shared" si="107"/>
        <v>31789720.147283874</v>
      </c>
      <c r="E90" s="2">
        <f t="shared" si="108"/>
        <v>77233517.691630378</v>
      </c>
      <c r="F90" s="4">
        <f t="shared" si="109"/>
        <v>79257265.184249014</v>
      </c>
      <c r="G90" s="1">
        <f t="shared" si="120"/>
        <v>0.57904687999214466</v>
      </c>
      <c r="H90" s="1">
        <f t="shared" si="110"/>
        <v>0.42095312000785534</v>
      </c>
      <c r="I90" s="29">
        <f t="shared" si="121"/>
        <v>0.03</v>
      </c>
      <c r="J90" s="2">
        <f t="shared" si="111"/>
        <v>2317005.5307489112</v>
      </c>
      <c r="K90" s="2"/>
      <c r="L90" s="2"/>
      <c r="M90" s="2"/>
      <c r="N90" s="2"/>
      <c r="O90" s="16">
        <f t="shared" si="112"/>
        <v>0.1333100466994489</v>
      </c>
      <c r="P90" s="16">
        <f t="shared" si="113"/>
        <v>6.548600170672858E-2</v>
      </c>
      <c r="Q90" s="2">
        <f t="shared" si="122"/>
        <v>9626949.4191564322</v>
      </c>
      <c r="R90" s="2"/>
      <c r="S90" s="16">
        <f t="shared" si="114"/>
        <v>6.5869217450921988E-2</v>
      </c>
      <c r="T90" s="16"/>
      <c r="U90" s="2">
        <f t="shared" si="115"/>
        <v>4756727.9464621441</v>
      </c>
      <c r="V90" s="2"/>
      <c r="W90" s="2"/>
      <c r="X90" s="2"/>
      <c r="Y90" s="2"/>
      <c r="Z90" s="2"/>
      <c r="AA90" s="2"/>
      <c r="AB90" s="2">
        <f t="shared" si="116"/>
        <v>16700682.896367487</v>
      </c>
      <c r="AC90" s="2"/>
      <c r="AD90" s="16">
        <f t="shared" si="117"/>
        <v>0.21623620670818289</v>
      </c>
      <c r="AE90" s="16"/>
      <c r="AF90" s="16"/>
      <c r="AG90" s="16"/>
      <c r="AH90" s="16">
        <f t="shared" si="118"/>
        <v>0</v>
      </c>
      <c r="AI90" s="16"/>
      <c r="AJ90" s="16"/>
      <c r="AK90" s="16"/>
      <c r="AL90" s="16"/>
      <c r="AZ90" s="2">
        <f t="shared" si="119"/>
        <v>93934200.587997869</v>
      </c>
    </row>
    <row r="91" spans="1:52" x14ac:dyDescent="0.2">
      <c r="A91" s="250"/>
      <c r="B91" s="14" t="s">
        <v>5</v>
      </c>
      <c r="C91" s="2">
        <f t="shared" si="106"/>
        <v>445931463.06601614</v>
      </c>
      <c r="D91" s="2">
        <f t="shared" si="107"/>
        <v>141872980.92141628</v>
      </c>
      <c r="E91" s="2">
        <f t="shared" si="108"/>
        <v>141694751.07087976</v>
      </c>
      <c r="F91" s="4">
        <f t="shared" si="109"/>
        <v>162363731.0737201</v>
      </c>
      <c r="G91" s="1">
        <f t="shared" si="120"/>
        <v>0.63589980855492223</v>
      </c>
      <c r="H91" s="1">
        <f t="shared" si="110"/>
        <v>0.36410019144507777</v>
      </c>
      <c r="I91" s="29">
        <f t="shared" si="121"/>
        <v>0.03</v>
      </c>
      <c r="J91" s="2">
        <f t="shared" si="111"/>
        <v>4250842.5321263922</v>
      </c>
      <c r="K91" s="2"/>
      <c r="L91" s="2"/>
      <c r="M91" s="2"/>
      <c r="N91" s="2"/>
      <c r="O91" s="16">
        <f t="shared" si="112"/>
        <v>0.11530550842316085</v>
      </c>
      <c r="P91" s="16">
        <f t="shared" si="113"/>
        <v>7.1915655514629376E-2</v>
      </c>
      <c r="Q91" s="2">
        <f t="shared" si="122"/>
        <v>8326756.496023898</v>
      </c>
      <c r="R91" s="2"/>
      <c r="S91" s="16">
        <f t="shared" si="114"/>
        <v>0.13493743297066585</v>
      </c>
      <c r="T91" s="16"/>
      <c r="U91" s="2">
        <f t="shared" si="115"/>
        <v>9744470.6841047239</v>
      </c>
      <c r="V91" s="2"/>
      <c r="W91" s="2"/>
      <c r="X91" s="2"/>
      <c r="Y91" s="2"/>
      <c r="Z91" s="2"/>
      <c r="AA91" s="2"/>
      <c r="AB91" s="2">
        <f t="shared" si="116"/>
        <v>22322069.712255016</v>
      </c>
      <c r="AC91" s="2"/>
      <c r="AD91" s="16">
        <f t="shared" si="117"/>
        <v>0.15753632046037386</v>
      </c>
      <c r="AE91" s="16"/>
      <c r="AF91" s="16"/>
      <c r="AG91" s="16"/>
      <c r="AH91" s="16">
        <f t="shared" si="118"/>
        <v>0</v>
      </c>
      <c r="AI91" s="16"/>
      <c r="AJ91" s="16"/>
      <c r="AK91" s="16"/>
      <c r="AL91" s="16"/>
      <c r="AZ91" s="2">
        <f t="shared" si="119"/>
        <v>164016820.78313476</v>
      </c>
    </row>
    <row r="92" spans="1:52" x14ac:dyDescent="0.2">
      <c r="A92" s="250"/>
      <c r="B92" s="14" t="s">
        <v>6</v>
      </c>
      <c r="C92" s="2">
        <f t="shared" si="106"/>
        <v>325191477.14383185</v>
      </c>
      <c r="D92" s="2">
        <f t="shared" si="107"/>
        <v>145590963.19955778</v>
      </c>
      <c r="E92" s="2">
        <f t="shared" si="108"/>
        <v>155728050.05469897</v>
      </c>
      <c r="F92" s="4">
        <f t="shared" si="109"/>
        <v>23872463.889575094</v>
      </c>
      <c r="G92" s="1">
        <f t="shared" si="120"/>
        <v>0.92658951550868496</v>
      </c>
      <c r="H92" s="1">
        <f t="shared" si="110"/>
        <v>7.3410484491315028E-2</v>
      </c>
      <c r="I92" s="29">
        <f t="shared" si="121"/>
        <v>0.03</v>
      </c>
      <c r="J92" s="2">
        <f t="shared" si="111"/>
        <v>4671841.501640969</v>
      </c>
      <c r="K92" s="2"/>
      <c r="L92" s="2"/>
      <c r="M92" s="2"/>
      <c r="N92" s="2"/>
      <c r="O92" s="16">
        <f t="shared" si="112"/>
        <v>2.3248087852594499E-2</v>
      </c>
      <c r="P92" s="16">
        <f t="shared" si="113"/>
        <v>0.10479055270077911</v>
      </c>
      <c r="Q92" s="2">
        <f t="shared" si="122"/>
        <v>1678854.4553856009</v>
      </c>
      <c r="R92" s="2"/>
      <c r="S92" s="16">
        <f t="shared" si="114"/>
        <v>1.9839954247427197E-2</v>
      </c>
      <c r="T92" s="16"/>
      <c r="U92" s="2">
        <f t="shared" si="115"/>
        <v>1432736.9973020121</v>
      </c>
      <c r="V92" s="2"/>
      <c r="W92" s="2"/>
      <c r="X92" s="2"/>
      <c r="Y92" s="2"/>
      <c r="Z92" s="2"/>
      <c r="AA92" s="2"/>
      <c r="AB92" s="2">
        <f t="shared" si="116"/>
        <v>7783432.9543285817</v>
      </c>
      <c r="AC92" s="2"/>
      <c r="AD92" s="16">
        <f t="shared" si="117"/>
        <v>4.9980931191231613E-2</v>
      </c>
      <c r="AE92" s="16"/>
      <c r="AF92" s="16"/>
      <c r="AG92" s="16"/>
      <c r="AH92" s="16">
        <f t="shared" si="118"/>
        <v>0</v>
      </c>
      <c r="AI92" s="16"/>
      <c r="AJ92" s="16"/>
      <c r="AK92" s="16"/>
      <c r="AL92" s="16"/>
      <c r="AZ92" s="2">
        <f t="shared" si="119"/>
        <v>163511483.00902754</v>
      </c>
    </row>
    <row r="93" spans="1:52" x14ac:dyDescent="0.2">
      <c r="A93" s="250"/>
      <c r="B93" s="14" t="s">
        <v>7</v>
      </c>
      <c r="C93" s="2">
        <f t="shared" si="106"/>
        <v>360966653.31075633</v>
      </c>
      <c r="D93" s="2">
        <f t="shared" si="107"/>
        <v>149737222.41198766</v>
      </c>
      <c r="E93" s="2">
        <f t="shared" si="108"/>
        <v>101686273.06223811</v>
      </c>
      <c r="F93" s="4">
        <f t="shared" si="109"/>
        <v>109543157.83653057</v>
      </c>
      <c r="G93" s="1">
        <f t="shared" si="120"/>
        <v>0.69652831686304051</v>
      </c>
      <c r="H93" s="1">
        <f t="shared" si="110"/>
        <v>0.30347168313695955</v>
      </c>
      <c r="I93" s="29">
        <f t="shared" si="121"/>
        <v>0.03</v>
      </c>
      <c r="J93" s="2">
        <f t="shared" si="111"/>
        <v>3050588.1918671434</v>
      </c>
      <c r="K93" s="2"/>
      <c r="L93" s="2"/>
      <c r="M93" s="2"/>
      <c r="N93" s="2"/>
      <c r="O93" s="16">
        <f t="shared" si="112"/>
        <v>9.6105296119894532E-2</v>
      </c>
      <c r="P93" s="16">
        <f t="shared" si="113"/>
        <v>7.8772300003579404E-2</v>
      </c>
      <c r="Q93" s="2">
        <f t="shared" si="122"/>
        <v>6940218.2923629582</v>
      </c>
      <c r="R93" s="2"/>
      <c r="S93" s="16">
        <f t="shared" si="114"/>
        <v>9.1039251316850381E-2</v>
      </c>
      <c r="T93" s="16"/>
      <c r="U93" s="2">
        <f t="shared" si="115"/>
        <v>6574375.2199046547</v>
      </c>
      <c r="V93" s="2"/>
      <c r="W93" s="2"/>
      <c r="X93" s="2"/>
      <c r="Y93" s="2"/>
      <c r="Z93" s="2"/>
      <c r="AA93" s="2"/>
      <c r="AB93" s="2">
        <f t="shared" si="116"/>
        <v>16565181.704134755</v>
      </c>
      <c r="AC93" s="2"/>
      <c r="AD93" s="16">
        <f t="shared" si="117"/>
        <v>0.16290479732692995</v>
      </c>
      <c r="AE93" s="16"/>
      <c r="AF93" s="16"/>
      <c r="AG93" s="16"/>
      <c r="AH93" s="16">
        <f t="shared" si="118"/>
        <v>0</v>
      </c>
      <c r="AI93" s="16"/>
      <c r="AJ93" s="16"/>
      <c r="AK93" s="16"/>
      <c r="AL93" s="16"/>
      <c r="AZ93" s="2">
        <f t="shared" si="119"/>
        <v>118251454.76637286</v>
      </c>
    </row>
    <row r="94" spans="1:52" x14ac:dyDescent="0.2">
      <c r="A94" s="250"/>
      <c r="B94" s="14" t="s">
        <v>8</v>
      </c>
      <c r="C94" s="2">
        <f t="shared" si="106"/>
        <v>1017242067.5363064</v>
      </c>
      <c r="D94" s="2">
        <f t="shared" si="107"/>
        <v>350654191.13401788</v>
      </c>
      <c r="E94" s="2">
        <f t="shared" si="108"/>
        <v>338218850.30746388</v>
      </c>
      <c r="F94" s="4">
        <f t="shared" si="109"/>
        <v>328369026.09482461</v>
      </c>
      <c r="G94" s="1">
        <f t="shared" si="120"/>
        <v>0.67719676901476078</v>
      </c>
      <c r="H94" s="1">
        <f t="shared" si="110"/>
        <v>0.32280323098523922</v>
      </c>
      <c r="I94" s="29">
        <f t="shared" si="121"/>
        <v>0.03</v>
      </c>
      <c r="J94" s="2">
        <f t="shared" si="111"/>
        <v>10146565.509223916</v>
      </c>
      <c r="K94" s="2"/>
      <c r="L94" s="2"/>
      <c r="M94" s="2"/>
      <c r="N94" s="2"/>
      <c r="O94" s="16">
        <f t="shared" si="112"/>
        <v>0.10222733067419051</v>
      </c>
      <c r="P94" s="16">
        <f t="shared" si="113"/>
        <v>7.6586042173464972E-2</v>
      </c>
      <c r="Q94" s="2">
        <f t="shared" si="122"/>
        <v>7382319.3826837</v>
      </c>
      <c r="R94" s="2"/>
      <c r="S94" s="16">
        <f t="shared" si="114"/>
        <v>0.2729013010189752</v>
      </c>
      <c r="T94" s="16"/>
      <c r="U94" s="2">
        <f t="shared" si="115"/>
        <v>19707494.569068503</v>
      </c>
      <c r="V94" s="2"/>
      <c r="W94" s="2"/>
      <c r="X94" s="2"/>
      <c r="Y94" s="2"/>
      <c r="Z94" s="2"/>
      <c r="AA94" s="2"/>
      <c r="AB94" s="2">
        <f t="shared" si="116"/>
        <v>37236379.460976124</v>
      </c>
      <c r="AC94" s="2"/>
      <c r="AD94" s="16">
        <f t="shared" si="117"/>
        <v>0.11009551781967719</v>
      </c>
      <c r="AE94" s="16"/>
      <c r="AF94" s="16"/>
      <c r="AG94" s="16"/>
      <c r="AH94" s="16">
        <f t="shared" si="118"/>
        <v>0</v>
      </c>
      <c r="AI94" s="16"/>
      <c r="AJ94" s="16"/>
      <c r="AK94" s="16"/>
      <c r="AL94" s="16"/>
      <c r="AZ94" s="2">
        <f t="shared" si="119"/>
        <v>375455229.76844001</v>
      </c>
    </row>
    <row r="95" spans="1:52" x14ac:dyDescent="0.2">
      <c r="A95" s="250"/>
      <c r="B95" s="14" t="s">
        <v>9</v>
      </c>
      <c r="C95" s="2">
        <f t="shared" si="106"/>
        <v>102406922.33004892</v>
      </c>
      <c r="D95" s="2">
        <f t="shared" si="107"/>
        <v>44004078.210011676</v>
      </c>
      <c r="E95" s="2">
        <f t="shared" si="108"/>
        <v>41610155.951336667</v>
      </c>
      <c r="F95" s="4">
        <f t="shared" si="109"/>
        <v>16792688.168700576</v>
      </c>
      <c r="G95" s="1">
        <f t="shared" si="120"/>
        <v>0.83601998979542469</v>
      </c>
      <c r="H95" s="1">
        <f t="shared" si="110"/>
        <v>0.16398001020457534</v>
      </c>
      <c r="I95" s="29">
        <f t="shared" si="121"/>
        <v>0.03</v>
      </c>
      <c r="J95" s="2">
        <f t="shared" si="111"/>
        <v>1248304.6785400999</v>
      </c>
      <c r="K95" s="2"/>
      <c r="L95" s="2"/>
      <c r="M95" s="2"/>
      <c r="N95" s="2"/>
      <c r="O95" s="16">
        <f t="shared" si="112"/>
        <v>5.1930207377344342E-2</v>
      </c>
      <c r="P95" s="16">
        <f t="shared" si="113"/>
        <v>9.4547796336188011E-2</v>
      </c>
      <c r="Q95" s="2">
        <f t="shared" si="122"/>
        <v>3750126.056703758</v>
      </c>
      <c r="R95" s="2"/>
      <c r="S95" s="16">
        <f t="shared" si="114"/>
        <v>1.3956086246456625E-2</v>
      </c>
      <c r="T95" s="16"/>
      <c r="U95" s="2">
        <f t="shared" si="115"/>
        <v>1007835.0410222914</v>
      </c>
      <c r="V95" s="2"/>
      <c r="W95" s="2"/>
      <c r="X95" s="2"/>
      <c r="Y95" s="2"/>
      <c r="Z95" s="2"/>
      <c r="AA95" s="2"/>
      <c r="AB95" s="2">
        <f t="shared" si="116"/>
        <v>6006265.7762661492</v>
      </c>
      <c r="AC95" s="2"/>
      <c r="AD95" s="16">
        <f t="shared" si="117"/>
        <v>0.14434614912980653</v>
      </c>
      <c r="AE95" s="16"/>
      <c r="AF95" s="16"/>
      <c r="AG95" s="16"/>
      <c r="AH95" s="16">
        <f t="shared" si="118"/>
        <v>0</v>
      </c>
      <c r="AI95" s="16"/>
      <c r="AJ95" s="16"/>
      <c r="AK95" s="16"/>
      <c r="AL95" s="16"/>
      <c r="AZ95" s="2">
        <f t="shared" si="119"/>
        <v>47616421.727602817</v>
      </c>
    </row>
    <row r="96" spans="1:52" x14ac:dyDescent="0.2">
      <c r="A96" s="250"/>
      <c r="B96" s="14" t="s">
        <v>10</v>
      </c>
      <c r="C96" s="2">
        <f t="shared" si="106"/>
        <v>1364438194.8457012</v>
      </c>
      <c r="D96" s="2">
        <f t="shared" si="107"/>
        <v>881850347.15718269</v>
      </c>
      <c r="E96" s="2">
        <f t="shared" si="108"/>
        <v>358373136.83932787</v>
      </c>
      <c r="F96" s="4">
        <f t="shared" si="109"/>
        <v>124214710.84919071</v>
      </c>
      <c r="G96" s="1">
        <f>1-H96</f>
        <v>0.90896274282087386</v>
      </c>
      <c r="H96" s="1">
        <f t="shared" si="110"/>
        <v>9.1037257179126127E-2</v>
      </c>
      <c r="I96" s="29">
        <f t="shared" si="121"/>
        <v>0.03</v>
      </c>
      <c r="J96" s="2">
        <f t="shared" si="111"/>
        <v>10751194.105179835</v>
      </c>
      <c r="K96" s="2"/>
      <c r="L96" s="2"/>
      <c r="M96" s="2"/>
      <c r="N96" s="2"/>
      <c r="O96" s="16">
        <f t="shared" si="112"/>
        <v>2.8830243628346484E-2</v>
      </c>
      <c r="P96" s="16">
        <f t="shared" si="113"/>
        <v>0.10279709257483254</v>
      </c>
      <c r="Q96" s="2">
        <f t="shared" si="122"/>
        <v>2081968.3438997397</v>
      </c>
      <c r="R96" s="2"/>
      <c r="S96" s="16">
        <f t="shared" si="114"/>
        <v>0.10323250216252422</v>
      </c>
      <c r="T96" s="16"/>
      <c r="U96" s="2">
        <f t="shared" si="115"/>
        <v>7454907.5732615879</v>
      </c>
      <c r="V96" s="2"/>
      <c r="W96" s="2"/>
      <c r="X96" s="2"/>
      <c r="Y96" s="2"/>
      <c r="Z96" s="2"/>
      <c r="AA96" s="2"/>
      <c r="AB96" s="2">
        <f t="shared" si="116"/>
        <v>20288070.022341162</v>
      </c>
      <c r="AC96" s="2"/>
      <c r="AD96" s="16">
        <f t="shared" si="117"/>
        <v>5.6611581440706771E-2</v>
      </c>
      <c r="AE96" s="16"/>
      <c r="AF96" s="16"/>
      <c r="AG96" s="16"/>
      <c r="AH96" s="16">
        <f t="shared" si="118"/>
        <v>0</v>
      </c>
      <c r="AI96" s="16"/>
      <c r="AJ96" s="16"/>
      <c r="AK96" s="16"/>
      <c r="AL96" s="16"/>
      <c r="AZ96" s="2">
        <f t="shared" si="119"/>
        <v>378661206.86166906</v>
      </c>
    </row>
    <row r="97" spans="1:52" x14ac:dyDescent="0.2">
      <c r="A97" s="250"/>
      <c r="B97" s="14" t="s">
        <v>11</v>
      </c>
      <c r="C97" s="2">
        <f t="shared" si="106"/>
        <v>217512558.91046929</v>
      </c>
      <c r="D97" s="2">
        <f t="shared" si="107"/>
        <v>76599517.387706712</v>
      </c>
      <c r="E97" s="2">
        <f t="shared" si="108"/>
        <v>80950945.248006046</v>
      </c>
      <c r="F97" s="4">
        <f t="shared" si="109"/>
        <v>59962096.274756536</v>
      </c>
      <c r="G97" s="1">
        <f t="shared" si="120"/>
        <v>0.72432811891364102</v>
      </c>
      <c r="H97" s="1">
        <f t="shared" si="110"/>
        <v>0.27567188108635893</v>
      </c>
      <c r="I97" s="29">
        <f t="shared" si="121"/>
        <v>0.03</v>
      </c>
      <c r="J97" s="2">
        <f t="shared" si="111"/>
        <v>2428528.3574401811</v>
      </c>
      <c r="K97" s="2"/>
      <c r="L97" s="2"/>
      <c r="M97" s="2"/>
      <c r="N97" s="2"/>
      <c r="O97" s="16">
        <f t="shared" si="112"/>
        <v>8.7301482266390257E-2</v>
      </c>
      <c r="P97" s="16">
        <f t="shared" si="113"/>
        <v>8.1916255955050962E-2</v>
      </c>
      <c r="Q97" s="2">
        <f t="shared" si="122"/>
        <v>6304453.2261753045</v>
      </c>
      <c r="R97" s="2"/>
      <c r="S97" s="16">
        <f t="shared" si="114"/>
        <v>4.9833366684471248E-2</v>
      </c>
      <c r="T97" s="16"/>
      <c r="U97" s="2">
        <f t="shared" si="115"/>
        <v>3598703.2660732176</v>
      </c>
      <c r="V97" s="2"/>
      <c r="W97" s="2"/>
      <c r="X97" s="2"/>
      <c r="Y97" s="2"/>
      <c r="Z97" s="2"/>
      <c r="AA97" s="2"/>
      <c r="AB97" s="2">
        <f t="shared" si="116"/>
        <v>12331684.849688703</v>
      </c>
      <c r="AC97" s="2"/>
      <c r="AD97" s="16">
        <f t="shared" si="117"/>
        <v>0.15233527924731</v>
      </c>
      <c r="AE97" s="16"/>
      <c r="AF97" s="16"/>
      <c r="AG97" s="16"/>
      <c r="AH97" s="16">
        <f t="shared" si="118"/>
        <v>0</v>
      </c>
      <c r="AI97" s="16"/>
      <c r="AJ97" s="16"/>
      <c r="AK97" s="16"/>
      <c r="AL97" s="16"/>
      <c r="AZ97" s="2">
        <f t="shared" si="119"/>
        <v>93282630.097694755</v>
      </c>
    </row>
    <row r="98" spans="1:52" x14ac:dyDescent="0.2">
      <c r="A98" s="250"/>
      <c r="B98" s="15" t="s">
        <v>14</v>
      </c>
      <c r="C98" s="30">
        <f>SUM(C86:C97)</f>
        <v>4942158450.3387699</v>
      </c>
      <c r="D98" s="3">
        <f t="shared" ref="D98" si="123">D48*(1+$C$57)</f>
        <v>2134134644.6969674</v>
      </c>
      <c r="E98" s="30">
        <f>SUM(E86:E97)</f>
        <v>1604771842.8672004</v>
      </c>
      <c r="F98" s="30">
        <f>SUM(F86:F97)</f>
        <v>1203251962.7746029</v>
      </c>
      <c r="G98" s="1">
        <f>1-H98</f>
        <v>0.75653310696824705</v>
      </c>
      <c r="H98" s="11">
        <f t="shared" si="110"/>
        <v>0.2434668930317529</v>
      </c>
      <c r="J98" s="30">
        <f>SUM(J86:J97)</f>
        <v>48143155.28601601</v>
      </c>
      <c r="K98" s="30"/>
      <c r="L98" s="30"/>
      <c r="M98" s="30"/>
      <c r="N98" s="30"/>
      <c r="Q98" s="30">
        <f>SUM(Q86:Q97)</f>
        <v>72214732.9290241</v>
      </c>
      <c r="R98" s="30"/>
      <c r="S98" s="30"/>
      <c r="T98" s="30"/>
      <c r="U98" s="30">
        <f>SUM(U86:U97)</f>
        <v>72214732.929024085</v>
      </c>
      <c r="V98" s="30"/>
      <c r="W98" s="30"/>
      <c r="X98" s="30"/>
      <c r="Y98" s="30"/>
      <c r="Z98" s="30"/>
      <c r="AA98" s="30"/>
      <c r="AB98" s="30">
        <f>SUM(AB86:AB97)</f>
        <v>192572621.14406422</v>
      </c>
      <c r="AC98" s="30"/>
      <c r="AD98" s="16">
        <f t="shared" si="117"/>
        <v>0.12000000000000011</v>
      </c>
      <c r="AE98" s="16"/>
      <c r="AF98" s="16"/>
      <c r="AG98" s="16"/>
      <c r="AH98" s="16">
        <f t="shared" si="118"/>
        <v>0</v>
      </c>
      <c r="AI98" s="16"/>
      <c r="AJ98" s="16"/>
      <c r="AK98" s="16"/>
      <c r="AL98" s="16"/>
      <c r="AZ98" s="3">
        <f>SUM(AZ86:AZ97)</f>
        <v>1797344464.0112643</v>
      </c>
    </row>
    <row r="99" spans="1:52" x14ac:dyDescent="0.2">
      <c r="C99" s="30"/>
      <c r="D99" s="3"/>
      <c r="E99" s="30"/>
      <c r="F99" s="30"/>
      <c r="G99" s="21">
        <f>SUM(G86:G97)</f>
        <v>8.8423001084313952</v>
      </c>
      <c r="H99" s="21">
        <f>SUM(H86:H97)</f>
        <v>3.1576998915686039</v>
      </c>
      <c r="I99" s="10" t="s">
        <v>30</v>
      </c>
      <c r="J99" s="17">
        <f>C81-SUM(J86:J97)</f>
        <v>144429465.85804817</v>
      </c>
      <c r="K99" s="17"/>
      <c r="L99" s="17"/>
      <c r="M99" s="17"/>
      <c r="N99" s="17"/>
    </row>
    <row r="102" spans="1:52" x14ac:dyDescent="0.2">
      <c r="A102" s="250">
        <v>4</v>
      </c>
      <c r="B102" t="s">
        <v>34</v>
      </c>
      <c r="C102" s="4">
        <f>AZ98</f>
        <v>1797344464.0112643</v>
      </c>
      <c r="D102" s="4"/>
    </row>
    <row r="103" spans="1:52" x14ac:dyDescent="0.2">
      <c r="A103" s="250"/>
      <c r="B103" t="s">
        <v>27</v>
      </c>
      <c r="C103" s="6">
        <f>C102*(1+C104)</f>
        <v>2013025799.6926162</v>
      </c>
      <c r="D103" s="6"/>
    </row>
    <row r="104" spans="1:52" x14ac:dyDescent="0.2">
      <c r="A104" s="250"/>
      <c r="B104" t="s">
        <v>28</v>
      </c>
      <c r="C104" s="20">
        <f>C4</f>
        <v>0.12</v>
      </c>
      <c r="D104" s="20"/>
    </row>
    <row r="105" spans="1:52" x14ac:dyDescent="0.2">
      <c r="A105" s="250"/>
      <c r="B105" t="s">
        <v>16</v>
      </c>
      <c r="C105" s="20">
        <f>C5</f>
        <v>0.03</v>
      </c>
      <c r="D105" s="20"/>
    </row>
    <row r="106" spans="1:52" x14ac:dyDescent="0.2">
      <c r="A106" s="250"/>
      <c r="B106" t="s">
        <v>31</v>
      </c>
      <c r="C106" s="6">
        <f>C103-C102</f>
        <v>215681335.6813519</v>
      </c>
      <c r="D106" s="6"/>
    </row>
    <row r="107" spans="1:52" x14ac:dyDescent="0.2">
      <c r="A107" s="250"/>
      <c r="B107" t="s">
        <v>48</v>
      </c>
      <c r="C107" s="20">
        <f>((1+$C$5)^A102)-1</f>
        <v>0.12550880999999992</v>
      </c>
      <c r="D107" s="20"/>
    </row>
    <row r="108" spans="1:52" ht="21" x14ac:dyDescent="0.25">
      <c r="A108" s="250"/>
      <c r="F108" s="6"/>
      <c r="G108" s="6"/>
      <c r="I108" s="251" t="s">
        <v>18</v>
      </c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1"/>
      <c r="AB108" s="251"/>
      <c r="AC108" s="251"/>
      <c r="AD108" s="251"/>
      <c r="AE108" s="107"/>
      <c r="AF108" s="107"/>
      <c r="AG108" s="107"/>
      <c r="AH108" s="107"/>
      <c r="AI108" s="107"/>
      <c r="AJ108" s="107"/>
      <c r="AK108" s="107"/>
      <c r="AL108" s="107"/>
    </row>
    <row r="109" spans="1:52" x14ac:dyDescent="0.2">
      <c r="A109" s="250" t="s">
        <v>51</v>
      </c>
      <c r="I109" s="255" t="s">
        <v>19</v>
      </c>
      <c r="J109" s="255"/>
      <c r="K109" s="255"/>
      <c r="L109" s="255"/>
      <c r="M109" s="255"/>
      <c r="N109" s="255"/>
      <c r="O109" s="255"/>
      <c r="P109" s="255"/>
      <c r="Q109" s="255"/>
      <c r="R109" s="255"/>
      <c r="S109" s="255"/>
      <c r="T109" s="255"/>
      <c r="U109" s="255"/>
      <c r="V109" s="255"/>
      <c r="W109" s="255"/>
      <c r="X109" s="255"/>
      <c r="Y109" s="255"/>
      <c r="Z109" s="255"/>
      <c r="AA109" s="255"/>
      <c r="AB109" s="255"/>
      <c r="AC109" s="255"/>
      <c r="AD109" s="255"/>
      <c r="AE109" s="115"/>
      <c r="AF109" s="115"/>
      <c r="AG109" s="115"/>
      <c r="AH109" s="115"/>
      <c r="AI109" s="115"/>
      <c r="AJ109" s="115"/>
      <c r="AK109" s="115"/>
      <c r="AL109" s="115"/>
    </row>
    <row r="110" spans="1:52" ht="49" thickBot="1" x14ac:dyDescent="0.25">
      <c r="A110" s="250"/>
      <c r="B110" s="22" t="s">
        <v>12</v>
      </c>
      <c r="C110" s="13" t="s">
        <v>15</v>
      </c>
      <c r="D110" s="13" t="s">
        <v>63</v>
      </c>
      <c r="E110" s="13" t="s">
        <v>29</v>
      </c>
      <c r="F110" s="13" t="s">
        <v>13</v>
      </c>
      <c r="G110" s="13" t="s">
        <v>50</v>
      </c>
      <c r="H110" s="13" t="s">
        <v>17</v>
      </c>
      <c r="I110" s="28" t="s">
        <v>20</v>
      </c>
      <c r="J110" s="28" t="s">
        <v>21</v>
      </c>
      <c r="K110" s="28"/>
      <c r="L110" s="28"/>
      <c r="M110" s="28"/>
      <c r="N110" s="28"/>
      <c r="O110" s="28" t="s">
        <v>22</v>
      </c>
      <c r="P110" s="28" t="s">
        <v>49</v>
      </c>
      <c r="Q110" s="28" t="s">
        <v>23</v>
      </c>
      <c r="R110" s="28"/>
      <c r="S110" s="28" t="s">
        <v>71</v>
      </c>
      <c r="T110" s="28"/>
      <c r="U110" s="28" t="s">
        <v>72</v>
      </c>
      <c r="V110" s="28"/>
      <c r="W110" s="28"/>
      <c r="X110" s="28"/>
      <c r="Y110" s="28"/>
      <c r="Z110" s="28"/>
      <c r="AA110" s="28"/>
      <c r="AB110" s="28" t="s">
        <v>24</v>
      </c>
      <c r="AC110" s="28"/>
      <c r="AD110" s="28" t="s">
        <v>25</v>
      </c>
      <c r="AE110" s="116"/>
      <c r="AF110" s="116"/>
      <c r="AG110" s="116"/>
      <c r="AH110" s="28" t="s">
        <v>25</v>
      </c>
      <c r="AI110" s="116"/>
      <c r="AJ110" s="116"/>
      <c r="AK110" s="116"/>
      <c r="AL110" s="116"/>
      <c r="AZ110" s="28" t="s">
        <v>32</v>
      </c>
    </row>
    <row r="111" spans="1:52" ht="19" customHeight="1" thickTop="1" x14ac:dyDescent="0.2">
      <c r="A111" s="250"/>
      <c r="B111" s="14" t="s">
        <v>0</v>
      </c>
      <c r="C111" s="2">
        <f t="shared" ref="C111:C122" si="124">VLOOKUP($B111,$B$10:$Q$23,2,FALSE)*(1+$C$107)</f>
        <v>88865862.840286225</v>
      </c>
      <c r="D111" s="2">
        <f t="shared" ref="D111:D122" si="125">VLOOKUP($B111,$B$10:$Q$23,3,FALSE)*(1+$C$107)</f>
        <v>14441022.321022352</v>
      </c>
      <c r="E111" s="2">
        <f t="shared" ref="E111:E122" si="126">AZ86</f>
        <v>64438217.059864782</v>
      </c>
      <c r="F111" s="4">
        <f t="shared" ref="F111:F122" si="127">C111-E111-D111</f>
        <v>9986623.4593990911</v>
      </c>
      <c r="G111" s="1">
        <f>1-H111</f>
        <v>0.88762137518039397</v>
      </c>
      <c r="H111" s="1">
        <f t="shared" ref="H111:H123" si="128">MAX(0,F111/C111)</f>
        <v>0.11237862481960599</v>
      </c>
      <c r="I111" s="29">
        <f>MIN($C$5,($C$4*0.5))*$C$8</f>
        <v>0.03</v>
      </c>
      <c r="J111" s="2">
        <f t="shared" ref="J111:J122" si="129">I111*E111</f>
        <v>1933146.5117959434</v>
      </c>
      <c r="K111" s="2"/>
      <c r="L111" s="2"/>
      <c r="M111" s="2"/>
      <c r="N111" s="2"/>
      <c r="O111" s="16">
        <f t="shared" ref="O111:O122" si="130">H111/$H$124</f>
        <v>4.2246712287379938E-2</v>
      </c>
      <c r="P111" s="16">
        <f t="shared" ref="P111:P122" si="131">G111/$G$124</f>
        <v>9.5034979320725355E-2</v>
      </c>
      <c r="Q111" s="2">
        <f>$J$124*IF($J$124&lt;0,P111,O111)*0.5</f>
        <v>3416935.250357958</v>
      </c>
      <c r="R111" s="2"/>
      <c r="S111" s="16">
        <f t="shared" ref="S111:S122" si="132">MAX(0,F111)/$F$123</f>
        <v>9.1208699726522818E-3</v>
      </c>
      <c r="T111" s="16"/>
      <c r="U111" s="2">
        <f t="shared" ref="U111:U122" si="133">S111*$J$124*0.5</f>
        <v>737700.53185409249</v>
      </c>
      <c r="V111" s="2"/>
      <c r="W111" s="2"/>
      <c r="X111" s="2"/>
      <c r="Y111" s="2"/>
      <c r="Z111" s="2"/>
      <c r="AA111" s="2"/>
      <c r="AB111" s="2">
        <f t="shared" ref="AB111:AB122" si="134">J111+Q111+U111</f>
        <v>6087782.2940079933</v>
      </c>
      <c r="AC111" s="2"/>
      <c r="AD111" s="16">
        <f t="shared" ref="AD111:AD123" si="135">AB111/E111</f>
        <v>9.4474716585536272E-2</v>
      </c>
      <c r="AE111" s="16"/>
      <c r="AF111" s="16"/>
      <c r="AG111" s="16"/>
      <c r="AH111" s="16">
        <f t="shared" ref="AH111:AH123" si="136">AG111/H111</f>
        <v>0</v>
      </c>
      <c r="AI111" s="16"/>
      <c r="AJ111" s="16"/>
      <c r="AK111" s="16"/>
      <c r="AL111" s="16"/>
      <c r="AZ111" s="2">
        <f t="shared" ref="AZ111:AZ122" si="137">AB111+E111</f>
        <v>70525999.353872776</v>
      </c>
    </row>
    <row r="112" spans="1:52" x14ac:dyDescent="0.2">
      <c r="A112" s="250"/>
      <c r="B112" s="14" t="s">
        <v>1</v>
      </c>
      <c r="C112" s="2">
        <f t="shared" si="124"/>
        <v>189471005.97822806</v>
      </c>
      <c r="D112" s="2">
        <f t="shared" si="125"/>
        <v>64123615.032986715</v>
      </c>
      <c r="E112" s="2">
        <f t="shared" si="126"/>
        <v>82561269.445809528</v>
      </c>
      <c r="F112" s="4">
        <f t="shared" si="127"/>
        <v>42786121.499431819</v>
      </c>
      <c r="G112" s="1">
        <f t="shared" ref="G112:G122" si="138">1-H112</f>
        <v>0.77418116677784288</v>
      </c>
      <c r="H112" s="1">
        <f t="shared" si="128"/>
        <v>0.22581883322215712</v>
      </c>
      <c r="I112" s="29">
        <f t="shared" ref="I112:I122" si="139">MIN($C$5,($C$4*0.5))*$C$8</f>
        <v>0.03</v>
      </c>
      <c r="J112" s="2">
        <f t="shared" si="129"/>
        <v>2476838.0833742856</v>
      </c>
      <c r="K112" s="2"/>
      <c r="L112" s="2"/>
      <c r="M112" s="2"/>
      <c r="N112" s="2"/>
      <c r="O112" s="16">
        <f t="shared" si="130"/>
        <v>8.489250773020586E-2</v>
      </c>
      <c r="P112" s="16">
        <f t="shared" si="131"/>
        <v>8.2889273774276337E-2</v>
      </c>
      <c r="Q112" s="2">
        <f t="shared" ref="Q112:Q122" si="140">$J$124*IF($J$124&lt;0,P112,O112)*0.5</f>
        <v>6866148.5462213606</v>
      </c>
      <c r="R112" s="2"/>
      <c r="S112" s="16">
        <f t="shared" si="132"/>
        <v>3.907693650581491E-2</v>
      </c>
      <c r="T112" s="16"/>
      <c r="U112" s="2">
        <f t="shared" si="133"/>
        <v>3160562.1974660782</v>
      </c>
      <c r="V112" s="2"/>
      <c r="W112" s="2"/>
      <c r="X112" s="2"/>
      <c r="Y112" s="2"/>
      <c r="Z112" s="2"/>
      <c r="AA112" s="2"/>
      <c r="AB112" s="2">
        <f t="shared" si="134"/>
        <v>12503548.827061724</v>
      </c>
      <c r="AC112" s="2"/>
      <c r="AD112" s="16">
        <f t="shared" si="135"/>
        <v>0.15144569494863008</v>
      </c>
      <c r="AE112" s="16"/>
      <c r="AF112" s="16"/>
      <c r="AG112" s="16"/>
      <c r="AH112" s="16">
        <f t="shared" si="136"/>
        <v>0</v>
      </c>
      <c r="AI112" s="16"/>
      <c r="AJ112" s="16"/>
      <c r="AK112" s="16"/>
      <c r="AL112" s="16"/>
      <c r="AZ112" s="2">
        <f t="shared" si="137"/>
        <v>95064818.272871256</v>
      </c>
    </row>
    <row r="113" spans="1:52" x14ac:dyDescent="0.2">
      <c r="A113" s="250"/>
      <c r="B113" s="14" t="s">
        <v>2</v>
      </c>
      <c r="C113" s="2">
        <f t="shared" si="124"/>
        <v>130733183.29652324</v>
      </c>
      <c r="D113" s="2">
        <f t="shared" si="125"/>
        <v>29855687.421893008</v>
      </c>
      <c r="E113" s="2">
        <f t="shared" si="126"/>
        <v>67068676.695656389</v>
      </c>
      <c r="F113" s="4">
        <f t="shared" si="127"/>
        <v>33808819.178973846</v>
      </c>
      <c r="G113" s="1">
        <f t="shared" si="138"/>
        <v>0.741390683478653</v>
      </c>
      <c r="H113" s="1">
        <f t="shared" si="128"/>
        <v>0.25860931652134694</v>
      </c>
      <c r="I113" s="29">
        <f t="shared" si="139"/>
        <v>0.03</v>
      </c>
      <c r="J113" s="2">
        <f t="shared" si="129"/>
        <v>2012060.3008696917</v>
      </c>
      <c r="K113" s="2"/>
      <c r="L113" s="2"/>
      <c r="M113" s="2"/>
      <c r="N113" s="2"/>
      <c r="O113" s="16">
        <f t="shared" si="130"/>
        <v>9.7219497101438374E-2</v>
      </c>
      <c r="P113" s="16">
        <f t="shared" si="131"/>
        <v>7.9378494302993569E-2</v>
      </c>
      <c r="Q113" s="2">
        <f t="shared" si="140"/>
        <v>7863161.6209153319</v>
      </c>
      <c r="R113" s="2"/>
      <c r="S113" s="16">
        <f t="shared" si="132"/>
        <v>3.0877888298683081E-2</v>
      </c>
      <c r="T113" s="16"/>
      <c r="U113" s="2">
        <f t="shared" si="133"/>
        <v>2497419.0717298328</v>
      </c>
      <c r="V113" s="2"/>
      <c r="W113" s="2"/>
      <c r="X113" s="2"/>
      <c r="Y113" s="2"/>
      <c r="Z113" s="2"/>
      <c r="AA113" s="2"/>
      <c r="AB113" s="2">
        <f t="shared" si="134"/>
        <v>12372640.993514856</v>
      </c>
      <c r="AC113" s="2"/>
      <c r="AD113" s="16">
        <f t="shared" si="135"/>
        <v>0.18447718969705204</v>
      </c>
      <c r="AE113" s="16"/>
      <c r="AF113" s="16"/>
      <c r="AG113" s="16"/>
      <c r="AH113" s="16">
        <f t="shared" si="136"/>
        <v>0</v>
      </c>
      <c r="AI113" s="16"/>
      <c r="AJ113" s="16"/>
      <c r="AK113" s="16"/>
      <c r="AL113" s="16"/>
      <c r="AZ113" s="2">
        <f t="shared" si="137"/>
        <v>79441317.68917124</v>
      </c>
    </row>
    <row r="114" spans="1:52" x14ac:dyDescent="0.2">
      <c r="A114" s="250"/>
      <c r="B114" s="14" t="s">
        <v>3</v>
      </c>
      <c r="C114" s="2">
        <f t="shared" si="124"/>
        <v>538724216.36261404</v>
      </c>
      <c r="D114" s="2">
        <f t="shared" si="125"/>
        <v>212976368.07573473</v>
      </c>
      <c r="E114" s="2">
        <f t="shared" si="126"/>
        <v>148546853.20799422</v>
      </c>
      <c r="F114" s="4">
        <f t="shared" si="127"/>
        <v>177200995.07888508</v>
      </c>
      <c r="G114" s="1">
        <f t="shared" si="138"/>
        <v>0.67107289834617068</v>
      </c>
      <c r="H114" s="1">
        <f t="shared" si="128"/>
        <v>0.32892710165382932</v>
      </c>
      <c r="I114" s="29">
        <f t="shared" si="139"/>
        <v>0.03</v>
      </c>
      <c r="J114" s="2">
        <f t="shared" si="129"/>
        <v>4456405.5962398266</v>
      </c>
      <c r="K114" s="2"/>
      <c r="L114" s="2"/>
      <c r="M114" s="2"/>
      <c r="N114" s="2"/>
      <c r="O114" s="16">
        <f t="shared" si="130"/>
        <v>0.12365419713399749</v>
      </c>
      <c r="P114" s="16">
        <f t="shared" si="131"/>
        <v>7.1849778295465558E-2</v>
      </c>
      <c r="Q114" s="2">
        <f t="shared" si="140"/>
        <v>10001213.400174666</v>
      </c>
      <c r="R114" s="2"/>
      <c r="S114" s="16">
        <f t="shared" si="132"/>
        <v>0.16183920838809301</v>
      </c>
      <c r="T114" s="16"/>
      <c r="U114" s="2">
        <f t="shared" si="133"/>
        <v>13089636.236533709</v>
      </c>
      <c r="V114" s="2"/>
      <c r="W114" s="2"/>
      <c r="X114" s="2"/>
      <c r="Y114" s="2"/>
      <c r="Z114" s="2"/>
      <c r="AA114" s="2"/>
      <c r="AB114" s="2">
        <f t="shared" si="134"/>
        <v>27547255.232948203</v>
      </c>
      <c r="AC114" s="2"/>
      <c r="AD114" s="16">
        <f t="shared" si="135"/>
        <v>0.18544489255774901</v>
      </c>
      <c r="AE114" s="16"/>
      <c r="AF114" s="16"/>
      <c r="AG114" s="16"/>
      <c r="AH114" s="16">
        <f t="shared" si="136"/>
        <v>0</v>
      </c>
      <c r="AI114" s="16"/>
      <c r="AJ114" s="16"/>
      <c r="AK114" s="16"/>
      <c r="AL114" s="16"/>
      <c r="AZ114" s="2">
        <f t="shared" si="137"/>
        <v>176094108.44094244</v>
      </c>
    </row>
    <row r="115" spans="1:52" x14ac:dyDescent="0.2">
      <c r="A115" s="250"/>
      <c r="B115" s="14" t="s">
        <v>4</v>
      </c>
      <c r="C115" s="2">
        <f t="shared" si="124"/>
        <v>193928918.11385813</v>
      </c>
      <c r="D115" s="2">
        <f t="shared" si="125"/>
        <v>32743411.751702387</v>
      </c>
      <c r="E115" s="2">
        <f t="shared" si="126"/>
        <v>93934200.587997869</v>
      </c>
      <c r="F115" s="4">
        <f t="shared" si="127"/>
        <v>67251305.774157882</v>
      </c>
      <c r="G115" s="1">
        <f t="shared" si="138"/>
        <v>0.65321672276501963</v>
      </c>
      <c r="H115" s="1">
        <f t="shared" si="128"/>
        <v>0.34678327723498042</v>
      </c>
      <c r="I115" s="29">
        <f t="shared" si="139"/>
        <v>0.03</v>
      </c>
      <c r="J115" s="2">
        <f t="shared" si="129"/>
        <v>2818026.0176399359</v>
      </c>
      <c r="K115" s="2"/>
      <c r="L115" s="2"/>
      <c r="M115" s="2"/>
      <c r="N115" s="2"/>
      <c r="O115" s="16">
        <f t="shared" si="130"/>
        <v>0.13036690351869262</v>
      </c>
      <c r="P115" s="16">
        <f t="shared" si="131"/>
        <v>6.9937970711114558E-2</v>
      </c>
      <c r="Q115" s="2">
        <f t="shared" si="140"/>
        <v>10544140.454832587</v>
      </c>
      <c r="R115" s="2"/>
      <c r="S115" s="16">
        <f t="shared" si="132"/>
        <v>6.1421201865768771E-2</v>
      </c>
      <c r="T115" s="16"/>
      <c r="U115" s="2">
        <f t="shared" si="133"/>
        <v>4967777.5715861078</v>
      </c>
      <c r="V115" s="2"/>
      <c r="W115" s="2"/>
      <c r="X115" s="2"/>
      <c r="Y115" s="2"/>
      <c r="Z115" s="2"/>
      <c r="AA115" s="2"/>
      <c r="AB115" s="2">
        <f t="shared" si="134"/>
        <v>18329944.044058628</v>
      </c>
      <c r="AC115" s="2"/>
      <c r="AD115" s="16">
        <f t="shared" si="135"/>
        <v>0.19513599870248619</v>
      </c>
      <c r="AE115" s="16"/>
      <c r="AF115" s="16"/>
      <c r="AG115" s="16"/>
      <c r="AH115" s="16">
        <f t="shared" si="136"/>
        <v>0</v>
      </c>
      <c r="AI115" s="16"/>
      <c r="AJ115" s="16"/>
      <c r="AK115" s="16"/>
      <c r="AL115" s="16"/>
      <c r="AZ115" s="2">
        <f t="shared" si="137"/>
        <v>112264144.6320565</v>
      </c>
    </row>
    <row r="116" spans="1:52" x14ac:dyDescent="0.2">
      <c r="A116" s="250"/>
      <c r="B116" s="14" t="s">
        <v>5</v>
      </c>
      <c r="C116" s="2">
        <f t="shared" si="124"/>
        <v>459309406.95799655</v>
      </c>
      <c r="D116" s="2">
        <f t="shared" si="125"/>
        <v>146129170.34905875</v>
      </c>
      <c r="E116" s="2">
        <f t="shared" si="126"/>
        <v>164016820.78313476</v>
      </c>
      <c r="F116" s="4">
        <f t="shared" si="127"/>
        <v>149163415.82580304</v>
      </c>
      <c r="G116" s="1">
        <f t="shared" si="138"/>
        <v>0.6752441522726228</v>
      </c>
      <c r="H116" s="1">
        <f t="shared" si="128"/>
        <v>0.3247558477273772</v>
      </c>
      <c r="I116" s="29">
        <f t="shared" si="139"/>
        <v>0.03</v>
      </c>
      <c r="J116" s="2">
        <f t="shared" si="129"/>
        <v>4920504.623494043</v>
      </c>
      <c r="K116" s="2"/>
      <c r="L116" s="2"/>
      <c r="M116" s="2"/>
      <c r="N116" s="2"/>
      <c r="O116" s="16">
        <f t="shared" si="130"/>
        <v>0.12208608963320448</v>
      </c>
      <c r="P116" s="16">
        <f t="shared" si="131"/>
        <v>7.2296382040853396E-2</v>
      </c>
      <c r="Q116" s="2">
        <f t="shared" si="140"/>
        <v>9874384.0800760482</v>
      </c>
      <c r="R116" s="2"/>
      <c r="S116" s="16">
        <f t="shared" si="132"/>
        <v>0.13623224365622336</v>
      </c>
      <c r="T116" s="16"/>
      <c r="U116" s="2">
        <f t="shared" si="133"/>
        <v>11018532.102990614</v>
      </c>
      <c r="V116" s="2"/>
      <c r="W116" s="2"/>
      <c r="X116" s="2"/>
      <c r="Y116" s="2"/>
      <c r="Z116" s="2"/>
      <c r="AA116" s="2"/>
      <c r="AB116" s="2">
        <f t="shared" si="134"/>
        <v>25813420.806560703</v>
      </c>
      <c r="AC116" s="2"/>
      <c r="AD116" s="16">
        <f t="shared" si="135"/>
        <v>0.15738276527559056</v>
      </c>
      <c r="AE116" s="16"/>
      <c r="AF116" s="16"/>
      <c r="AG116" s="16"/>
      <c r="AH116" s="16">
        <f t="shared" si="136"/>
        <v>0</v>
      </c>
      <c r="AI116" s="16"/>
      <c r="AJ116" s="16"/>
      <c r="AK116" s="16"/>
      <c r="AL116" s="16"/>
      <c r="AZ116" s="2">
        <f t="shared" si="137"/>
        <v>189830241.58969545</v>
      </c>
    </row>
    <row r="117" spans="1:52" x14ac:dyDescent="0.2">
      <c r="A117" s="250"/>
      <c r="B117" s="14" t="s">
        <v>6</v>
      </c>
      <c r="C117" s="2">
        <f t="shared" si="124"/>
        <v>334947221.45814681</v>
      </c>
      <c r="D117" s="2">
        <f t="shared" si="125"/>
        <v>149958692.09554452</v>
      </c>
      <c r="E117" s="2">
        <f t="shared" si="126"/>
        <v>163511483.00902754</v>
      </c>
      <c r="F117" s="4">
        <f t="shared" si="127"/>
        <v>21477046.353574753</v>
      </c>
      <c r="G117" s="1">
        <f t="shared" si="138"/>
        <v>0.93587931179104167</v>
      </c>
      <c r="H117" s="1">
        <f t="shared" si="128"/>
        <v>6.4120688208958346E-2</v>
      </c>
      <c r="I117" s="29">
        <f t="shared" si="139"/>
        <v>0.03</v>
      </c>
      <c r="J117" s="2">
        <f t="shared" si="129"/>
        <v>4905344.490270826</v>
      </c>
      <c r="K117" s="2"/>
      <c r="L117" s="2"/>
      <c r="M117" s="2"/>
      <c r="N117" s="2"/>
      <c r="O117" s="16">
        <f t="shared" si="130"/>
        <v>2.4105013482600079E-2</v>
      </c>
      <c r="P117" s="16">
        <f t="shared" si="131"/>
        <v>0.10020181299113094</v>
      </c>
      <c r="Q117" s="2">
        <f t="shared" si="140"/>
        <v>1949625.5642040684</v>
      </c>
      <c r="R117" s="2"/>
      <c r="S117" s="16">
        <f t="shared" si="132"/>
        <v>1.9615173034607244E-2</v>
      </c>
      <c r="T117" s="16"/>
      <c r="U117" s="2">
        <f t="shared" si="133"/>
        <v>1586485.0198968479</v>
      </c>
      <c r="V117" s="2"/>
      <c r="W117" s="2"/>
      <c r="X117" s="2"/>
      <c r="Y117" s="2"/>
      <c r="Z117" s="2"/>
      <c r="AA117" s="2"/>
      <c r="AB117" s="2">
        <f t="shared" si="134"/>
        <v>8441455.0743717421</v>
      </c>
      <c r="AC117" s="2"/>
      <c r="AD117" s="16">
        <f t="shared" si="135"/>
        <v>5.1626068818088365E-2</v>
      </c>
      <c r="AE117" s="16"/>
      <c r="AF117" s="16"/>
      <c r="AG117" s="16"/>
      <c r="AH117" s="16">
        <f t="shared" si="136"/>
        <v>0</v>
      </c>
      <c r="AI117" s="16"/>
      <c r="AJ117" s="16"/>
      <c r="AK117" s="16"/>
      <c r="AL117" s="16"/>
      <c r="AZ117" s="2">
        <f t="shared" si="137"/>
        <v>171952938.0833993</v>
      </c>
    </row>
    <row r="118" spans="1:52" x14ac:dyDescent="0.2">
      <c r="A118" s="250"/>
      <c r="B118" s="14" t="s">
        <v>7</v>
      </c>
      <c r="C118" s="2">
        <f t="shared" si="124"/>
        <v>371795652.910079</v>
      </c>
      <c r="D118" s="2">
        <f t="shared" si="125"/>
        <v>154229339.08434728</v>
      </c>
      <c r="E118" s="2">
        <f t="shared" si="126"/>
        <v>118251454.76637286</v>
      </c>
      <c r="F118" s="4">
        <f t="shared" si="127"/>
        <v>99314859.059358865</v>
      </c>
      <c r="G118" s="1">
        <f t="shared" si="138"/>
        <v>0.73287783683856367</v>
      </c>
      <c r="H118" s="1">
        <f t="shared" si="128"/>
        <v>0.26712216316143633</v>
      </c>
      <c r="I118" s="29">
        <f t="shared" si="139"/>
        <v>0.03</v>
      </c>
      <c r="J118" s="2">
        <f t="shared" si="129"/>
        <v>3547543.6429911857</v>
      </c>
      <c r="K118" s="2"/>
      <c r="L118" s="2"/>
      <c r="M118" s="2"/>
      <c r="N118" s="2"/>
      <c r="O118" s="16">
        <f t="shared" si="130"/>
        <v>0.10041974789048079</v>
      </c>
      <c r="P118" s="16">
        <f t="shared" si="131"/>
        <v>7.8467049145155884E-2</v>
      </c>
      <c r="Q118" s="2">
        <f t="shared" si="140"/>
        <v>8121999.5076763202</v>
      </c>
      <c r="R118" s="2"/>
      <c r="S118" s="16">
        <f t="shared" si="132"/>
        <v>9.0705123660205098E-2</v>
      </c>
      <c r="T118" s="16"/>
      <c r="U118" s="2">
        <f t="shared" si="133"/>
        <v>7336275.834065713</v>
      </c>
      <c r="V118" s="2"/>
      <c r="W118" s="2"/>
      <c r="X118" s="2"/>
      <c r="Y118" s="2"/>
      <c r="Z118" s="2"/>
      <c r="AA118" s="2"/>
      <c r="AB118" s="2">
        <f t="shared" si="134"/>
        <v>19005818.984733216</v>
      </c>
      <c r="AC118" s="2"/>
      <c r="AD118" s="16">
        <f t="shared" si="135"/>
        <v>0.16072376464444052</v>
      </c>
      <c r="AE118" s="16"/>
      <c r="AF118" s="16"/>
      <c r="AG118" s="16"/>
      <c r="AH118" s="16">
        <f t="shared" si="136"/>
        <v>0</v>
      </c>
      <c r="AI118" s="16"/>
      <c r="AJ118" s="16"/>
      <c r="AK118" s="16"/>
      <c r="AL118" s="16"/>
      <c r="AZ118" s="2">
        <f t="shared" si="137"/>
        <v>137257273.75110608</v>
      </c>
    </row>
    <row r="119" spans="1:52" x14ac:dyDescent="0.2">
      <c r="A119" s="250"/>
      <c r="B119" s="14" t="s">
        <v>8</v>
      </c>
      <c r="C119" s="2">
        <f t="shared" si="124"/>
        <v>1047759329.5623955</v>
      </c>
      <c r="D119" s="2">
        <f t="shared" si="125"/>
        <v>361173816.86803842</v>
      </c>
      <c r="E119" s="2">
        <f t="shared" si="126"/>
        <v>375455229.76844001</v>
      </c>
      <c r="F119" s="4">
        <f t="shared" si="127"/>
        <v>311130282.92591703</v>
      </c>
      <c r="G119" s="1">
        <f t="shared" si="138"/>
        <v>0.70305176566085748</v>
      </c>
      <c r="H119" s="1">
        <f t="shared" si="128"/>
        <v>0.29694823433914247</v>
      </c>
      <c r="I119" s="29">
        <f t="shared" si="139"/>
        <v>0.03</v>
      </c>
      <c r="J119" s="2">
        <f t="shared" si="129"/>
        <v>11263656.8930532</v>
      </c>
      <c r="K119" s="2"/>
      <c r="L119" s="2"/>
      <c r="M119" s="2"/>
      <c r="N119" s="2"/>
      <c r="O119" s="16">
        <f t="shared" si="130"/>
        <v>0.1116323201187862</v>
      </c>
      <c r="P119" s="16">
        <f t="shared" si="131"/>
        <v>7.5273660458436031E-2</v>
      </c>
      <c r="Q119" s="2">
        <f t="shared" si="140"/>
        <v>9028877.9656605236</v>
      </c>
      <c r="R119" s="2"/>
      <c r="S119" s="16">
        <f t="shared" si="132"/>
        <v>0.28415799060201663</v>
      </c>
      <c r="T119" s="16"/>
      <c r="U119" s="2">
        <f t="shared" si="133"/>
        <v>22982840.609089501</v>
      </c>
      <c r="V119" s="2"/>
      <c r="W119" s="2"/>
      <c r="X119" s="2"/>
      <c r="Y119" s="2"/>
      <c r="Z119" s="2"/>
      <c r="AA119" s="2"/>
      <c r="AB119" s="2">
        <f t="shared" si="134"/>
        <v>43275375.467803225</v>
      </c>
      <c r="AC119" s="2"/>
      <c r="AD119" s="16">
        <f t="shared" si="135"/>
        <v>0.11526108051416165</v>
      </c>
      <c r="AE119" s="16"/>
      <c r="AF119" s="16"/>
      <c r="AG119" s="16"/>
      <c r="AH119" s="16">
        <f t="shared" si="136"/>
        <v>0</v>
      </c>
      <c r="AI119" s="16"/>
      <c r="AJ119" s="16"/>
      <c r="AK119" s="16"/>
      <c r="AL119" s="16"/>
      <c r="AZ119" s="2">
        <f t="shared" si="137"/>
        <v>418730605.23624325</v>
      </c>
    </row>
    <row r="120" spans="1:52" x14ac:dyDescent="0.2">
      <c r="A120" s="250"/>
      <c r="B120" s="14" t="s">
        <v>9</v>
      </c>
      <c r="C120" s="2">
        <f t="shared" si="124"/>
        <v>105479129.99995038</v>
      </c>
      <c r="D120" s="2">
        <f t="shared" si="125"/>
        <v>45324200.556312017</v>
      </c>
      <c r="E120" s="2">
        <f t="shared" si="126"/>
        <v>47616421.727602817</v>
      </c>
      <c r="F120" s="4">
        <f t="shared" si="127"/>
        <v>12538507.716035545</v>
      </c>
      <c r="G120" s="1">
        <f t="shared" si="138"/>
        <v>0.8811280703960922</v>
      </c>
      <c r="H120" s="1">
        <f t="shared" si="128"/>
        <v>0.11887192960390784</v>
      </c>
      <c r="I120" s="29">
        <f t="shared" si="139"/>
        <v>0.03</v>
      </c>
      <c r="J120" s="2">
        <f t="shared" si="129"/>
        <v>1428492.6518280844</v>
      </c>
      <c r="K120" s="2"/>
      <c r="L120" s="2"/>
      <c r="M120" s="2"/>
      <c r="N120" s="2"/>
      <c r="O120" s="16">
        <f t="shared" si="130"/>
        <v>4.4687752827402713E-2</v>
      </c>
      <c r="P120" s="16">
        <f t="shared" si="131"/>
        <v>9.4339760499779463E-2</v>
      </c>
      <c r="Q120" s="2">
        <f t="shared" si="140"/>
        <v>3614367.8319046232</v>
      </c>
      <c r="R120" s="2"/>
      <c r="S120" s="16">
        <f t="shared" si="132"/>
        <v>1.1451528035877191E-2</v>
      </c>
      <c r="T120" s="16"/>
      <c r="U120" s="2">
        <f t="shared" si="133"/>
        <v>926205.32338891551</v>
      </c>
      <c r="V120" s="2"/>
      <c r="W120" s="2"/>
      <c r="X120" s="2"/>
      <c r="Y120" s="2"/>
      <c r="Z120" s="2"/>
      <c r="AA120" s="2"/>
      <c r="AB120" s="2">
        <f t="shared" si="134"/>
        <v>5969065.8071216233</v>
      </c>
      <c r="AC120" s="2"/>
      <c r="AD120" s="16">
        <f t="shared" si="135"/>
        <v>0.12535729461715114</v>
      </c>
      <c r="AE120" s="16"/>
      <c r="AF120" s="16"/>
      <c r="AG120" s="16"/>
      <c r="AH120" s="16">
        <f t="shared" si="136"/>
        <v>0</v>
      </c>
      <c r="AI120" s="16"/>
      <c r="AJ120" s="16"/>
      <c r="AK120" s="16"/>
      <c r="AL120" s="16"/>
      <c r="AZ120" s="2">
        <f t="shared" si="137"/>
        <v>53585487.534724444</v>
      </c>
    </row>
    <row r="121" spans="1:52" x14ac:dyDescent="0.2">
      <c r="A121" s="250"/>
      <c r="B121" s="14" t="s">
        <v>10</v>
      </c>
      <c r="C121" s="2">
        <f t="shared" si="124"/>
        <v>1405371340.6910722</v>
      </c>
      <c r="D121" s="2">
        <f t="shared" si="125"/>
        <v>908305857.5718981</v>
      </c>
      <c r="E121" s="2">
        <f t="shared" si="126"/>
        <v>378661206.86166906</v>
      </c>
      <c r="F121" s="4">
        <f t="shared" si="127"/>
        <v>118404276.25750506</v>
      </c>
      <c r="G121" s="1">
        <f t="shared" si="138"/>
        <v>0.91574876132077565</v>
      </c>
      <c r="H121" s="1">
        <f t="shared" si="128"/>
        <v>8.4251238679224363E-2</v>
      </c>
      <c r="I121" s="29">
        <f t="shared" si="139"/>
        <v>0.03</v>
      </c>
      <c r="J121" s="2">
        <f t="shared" si="129"/>
        <v>11359836.205850072</v>
      </c>
      <c r="K121" s="2"/>
      <c r="L121" s="2"/>
      <c r="M121" s="2"/>
      <c r="N121" s="2"/>
      <c r="O121" s="16">
        <f t="shared" si="130"/>
        <v>3.167272998802164E-2</v>
      </c>
      <c r="P121" s="16">
        <f t="shared" si="131"/>
        <v>9.8046494855323615E-2</v>
      </c>
      <c r="Q121" s="2">
        <f t="shared" si="140"/>
        <v>2561706.2656842442</v>
      </c>
      <c r="R121" s="2"/>
      <c r="S121" s="16">
        <f t="shared" si="132"/>
        <v>0.10813965424262481</v>
      </c>
      <c r="T121" s="16"/>
      <c r="U121" s="2">
        <f t="shared" si="133"/>
        <v>8746389.4001883361</v>
      </c>
      <c r="V121" s="2"/>
      <c r="W121" s="2"/>
      <c r="X121" s="2"/>
      <c r="Y121" s="2"/>
      <c r="Z121" s="2"/>
      <c r="AA121" s="2"/>
      <c r="AB121" s="2">
        <f t="shared" si="134"/>
        <v>22667931.871722654</v>
      </c>
      <c r="AC121" s="2"/>
      <c r="AD121" s="16">
        <f t="shared" si="135"/>
        <v>5.986335927990534E-2</v>
      </c>
      <c r="AE121" s="16"/>
      <c r="AF121" s="16"/>
      <c r="AG121" s="16"/>
      <c r="AH121" s="16">
        <f t="shared" si="136"/>
        <v>0</v>
      </c>
      <c r="AI121" s="16"/>
      <c r="AJ121" s="16"/>
      <c r="AK121" s="16"/>
      <c r="AL121" s="16"/>
      <c r="AZ121" s="2">
        <f t="shared" si="137"/>
        <v>401329138.7333917</v>
      </c>
    </row>
    <row r="122" spans="1:52" x14ac:dyDescent="0.2">
      <c r="A122" s="250"/>
      <c r="B122" s="14" t="s">
        <v>11</v>
      </c>
      <c r="C122" s="2">
        <f t="shared" si="124"/>
        <v>224037935.67778334</v>
      </c>
      <c r="D122" s="2">
        <f t="shared" si="125"/>
        <v>78897502.909337908</v>
      </c>
      <c r="E122" s="2">
        <f t="shared" si="126"/>
        <v>93282630.097694755</v>
      </c>
      <c r="F122" s="4">
        <f t="shared" si="127"/>
        <v>51857802.670750678</v>
      </c>
      <c r="G122" s="1">
        <f t="shared" si="138"/>
        <v>0.76853115293235963</v>
      </c>
      <c r="H122" s="1">
        <f t="shared" si="128"/>
        <v>0.23146884706764034</v>
      </c>
      <c r="I122" s="29">
        <f t="shared" si="139"/>
        <v>0.03</v>
      </c>
      <c r="J122" s="2">
        <f t="shared" si="129"/>
        <v>2798478.9029308427</v>
      </c>
      <c r="K122" s="2"/>
      <c r="L122" s="2"/>
      <c r="M122" s="2"/>
      <c r="N122" s="2"/>
      <c r="O122" s="16">
        <f t="shared" si="130"/>
        <v>8.7016528287789691E-2</v>
      </c>
      <c r="P122" s="16">
        <f t="shared" si="131"/>
        <v>8.2284343604745222E-2</v>
      </c>
      <c r="Q122" s="2">
        <f t="shared" si="140"/>
        <v>7037940.392799234</v>
      </c>
      <c r="R122" s="2"/>
      <c r="S122" s="16">
        <f t="shared" si="132"/>
        <v>4.7362181737433555E-2</v>
      </c>
      <c r="T122" s="16"/>
      <c r="U122" s="2">
        <f t="shared" si="133"/>
        <v>3830676.9817172261</v>
      </c>
      <c r="V122" s="2"/>
      <c r="W122" s="2"/>
      <c r="X122" s="2"/>
      <c r="Y122" s="2"/>
      <c r="Z122" s="2"/>
      <c r="AA122" s="2"/>
      <c r="AB122" s="2">
        <f t="shared" si="134"/>
        <v>13667096.277447302</v>
      </c>
      <c r="AC122" s="2"/>
      <c r="AD122" s="16">
        <f t="shared" si="135"/>
        <v>0.1465127673087023</v>
      </c>
      <c r="AE122" s="16"/>
      <c r="AF122" s="16"/>
      <c r="AG122" s="16"/>
      <c r="AH122" s="16">
        <f t="shared" si="136"/>
        <v>0</v>
      </c>
      <c r="AI122" s="16"/>
      <c r="AJ122" s="16"/>
      <c r="AK122" s="16"/>
      <c r="AL122" s="16"/>
      <c r="AZ122" s="2">
        <f t="shared" si="137"/>
        <v>106949726.37514205</v>
      </c>
    </row>
    <row r="123" spans="1:52" x14ac:dyDescent="0.2">
      <c r="A123" s="250"/>
      <c r="B123" s="15" t="s">
        <v>14</v>
      </c>
      <c r="C123" s="30">
        <f>SUM(C111:C122)</f>
        <v>5090423203.8489332</v>
      </c>
      <c r="D123" s="30">
        <f>SUM(D111:D122)</f>
        <v>2198158684.0378761</v>
      </c>
      <c r="E123" s="30">
        <f>SUM(E111:E122)</f>
        <v>1797344464.0112643</v>
      </c>
      <c r="F123" s="30">
        <f>SUM(F111:F122)</f>
        <v>1094920055.7997928</v>
      </c>
      <c r="G123" s="1">
        <f>1-H123</f>
        <v>0.78490588857682597</v>
      </c>
      <c r="H123" s="11">
        <f t="shared" si="128"/>
        <v>0.215094111423174</v>
      </c>
      <c r="J123" s="30">
        <f>SUM(J111:J122)</f>
        <v>53920333.920337938</v>
      </c>
      <c r="K123" s="30"/>
      <c r="L123" s="30"/>
      <c r="M123" s="30"/>
      <c r="N123" s="30"/>
      <c r="Q123" s="30">
        <f>SUM(Q111:Q122)</f>
        <v>80880500.880506948</v>
      </c>
      <c r="R123" s="30"/>
      <c r="S123" s="30"/>
      <c r="T123" s="30"/>
      <c r="U123" s="30">
        <f>SUM(U111:U122)</f>
        <v>80880500.880506992</v>
      </c>
      <c r="V123" s="30"/>
      <c r="W123" s="30"/>
      <c r="X123" s="30"/>
      <c r="Y123" s="30"/>
      <c r="Z123" s="30"/>
      <c r="AA123" s="30"/>
      <c r="AB123" s="30">
        <f>SUM(AB111:AB122)</f>
        <v>215681335.68135187</v>
      </c>
      <c r="AC123" s="30"/>
      <c r="AD123" s="16">
        <f t="shared" si="135"/>
        <v>0.12000000000000008</v>
      </c>
      <c r="AE123" s="16"/>
      <c r="AF123" s="16"/>
      <c r="AG123" s="16"/>
      <c r="AH123" s="16">
        <f t="shared" si="136"/>
        <v>0</v>
      </c>
      <c r="AI123" s="16"/>
      <c r="AJ123" s="16"/>
      <c r="AK123" s="16"/>
      <c r="AL123" s="16"/>
      <c r="AZ123" s="3">
        <f>SUM(AZ111:AZ122)</f>
        <v>2013025799.6926167</v>
      </c>
    </row>
    <row r="124" spans="1:52" x14ac:dyDescent="0.2">
      <c r="A124" s="36"/>
      <c r="C124" s="30"/>
      <c r="D124" s="30"/>
      <c r="E124" s="30"/>
      <c r="F124" s="30"/>
      <c r="G124" s="21">
        <f>SUM(G111:G122)</f>
        <v>9.3399438977603939</v>
      </c>
      <c r="H124" s="21">
        <f>SUM(H111:H122)</f>
        <v>2.660056102239607</v>
      </c>
      <c r="I124" s="10" t="s">
        <v>30</v>
      </c>
      <c r="J124" s="17">
        <f>C106-SUM(J111:J122)</f>
        <v>161761001.76101395</v>
      </c>
      <c r="K124" s="17"/>
      <c r="L124" s="17"/>
      <c r="M124" s="17"/>
      <c r="N124" s="17"/>
    </row>
    <row r="127" spans="1:52" x14ac:dyDescent="0.2">
      <c r="A127" s="250">
        <v>5</v>
      </c>
      <c r="B127" t="s">
        <v>34</v>
      </c>
      <c r="C127" s="4">
        <f>AZ123</f>
        <v>2013025799.6926167</v>
      </c>
      <c r="D127" s="4"/>
    </row>
    <row r="128" spans="1:52" x14ac:dyDescent="0.2">
      <c r="A128" s="250"/>
      <c r="B128" t="s">
        <v>27</v>
      </c>
      <c r="C128" s="6">
        <f>C127*(1+C129)</f>
        <v>2254588895.6557307</v>
      </c>
      <c r="D128" s="6"/>
    </row>
    <row r="129" spans="1:52" x14ac:dyDescent="0.2">
      <c r="A129" s="250"/>
      <c r="B129" t="s">
        <v>28</v>
      </c>
      <c r="C129" s="20">
        <f>C4</f>
        <v>0.12</v>
      </c>
      <c r="D129" s="20"/>
    </row>
    <row r="130" spans="1:52" x14ac:dyDescent="0.2">
      <c r="A130" s="250"/>
      <c r="B130" t="s">
        <v>16</v>
      </c>
      <c r="C130" s="20">
        <f>C5</f>
        <v>0.03</v>
      </c>
      <c r="D130" s="20"/>
    </row>
    <row r="131" spans="1:52" x14ac:dyDescent="0.2">
      <c r="A131" s="250"/>
      <c r="B131" t="s">
        <v>31</v>
      </c>
      <c r="C131" s="6">
        <f>C128-C127</f>
        <v>241563095.96311402</v>
      </c>
      <c r="D131" s="6"/>
    </row>
    <row r="132" spans="1:52" x14ac:dyDescent="0.2">
      <c r="A132" s="250"/>
      <c r="B132" t="s">
        <v>48</v>
      </c>
      <c r="C132" s="20">
        <f>((1+$C$5)^A127)-1</f>
        <v>0.15927407429999985</v>
      </c>
      <c r="D132" s="20"/>
    </row>
    <row r="133" spans="1:52" ht="21" x14ac:dyDescent="0.25">
      <c r="A133" s="250"/>
      <c r="F133" s="6"/>
      <c r="G133" s="6"/>
      <c r="I133" s="251" t="s">
        <v>18</v>
      </c>
      <c r="J133" s="251"/>
      <c r="K133" s="251"/>
      <c r="L133" s="251"/>
      <c r="M133" s="251"/>
      <c r="N133" s="251"/>
      <c r="O133" s="251"/>
      <c r="P133" s="251"/>
      <c r="Q133" s="251"/>
      <c r="R133" s="251"/>
      <c r="S133" s="251"/>
      <c r="T133" s="251"/>
      <c r="U133" s="251"/>
      <c r="V133" s="251"/>
      <c r="W133" s="251"/>
      <c r="X133" s="251"/>
      <c r="Y133" s="251"/>
      <c r="Z133" s="251"/>
      <c r="AA133" s="251"/>
      <c r="AB133" s="251"/>
      <c r="AC133" s="251"/>
      <c r="AD133" s="251"/>
      <c r="AE133" s="107"/>
      <c r="AF133" s="107"/>
      <c r="AG133" s="107"/>
      <c r="AH133" s="107"/>
      <c r="AI133" s="107"/>
      <c r="AJ133" s="107"/>
      <c r="AK133" s="107"/>
      <c r="AL133" s="107"/>
    </row>
    <row r="134" spans="1:52" x14ac:dyDescent="0.2">
      <c r="A134" s="250" t="s">
        <v>51</v>
      </c>
      <c r="I134" s="255" t="s">
        <v>19</v>
      </c>
      <c r="J134" s="255"/>
      <c r="K134" s="255"/>
      <c r="L134" s="255"/>
      <c r="M134" s="255"/>
      <c r="N134" s="255"/>
      <c r="O134" s="255"/>
      <c r="P134" s="255"/>
      <c r="Q134" s="255"/>
      <c r="R134" s="255"/>
      <c r="S134" s="255"/>
      <c r="T134" s="255"/>
      <c r="U134" s="255"/>
      <c r="V134" s="255"/>
      <c r="W134" s="255"/>
      <c r="X134" s="255"/>
      <c r="Y134" s="255"/>
      <c r="Z134" s="255"/>
      <c r="AA134" s="255"/>
      <c r="AB134" s="255"/>
      <c r="AC134" s="255"/>
      <c r="AD134" s="255"/>
      <c r="AE134" s="115"/>
      <c r="AF134" s="115"/>
      <c r="AG134" s="115"/>
      <c r="AH134" s="115"/>
      <c r="AI134" s="115"/>
      <c r="AJ134" s="115"/>
      <c r="AK134" s="115"/>
      <c r="AL134" s="115"/>
    </row>
    <row r="135" spans="1:52" ht="49" thickBot="1" x14ac:dyDescent="0.25">
      <c r="A135" s="250"/>
      <c r="B135" s="22" t="s">
        <v>12</v>
      </c>
      <c r="C135" s="13" t="s">
        <v>15</v>
      </c>
      <c r="D135" s="13" t="s">
        <v>63</v>
      </c>
      <c r="E135" s="13" t="s">
        <v>29</v>
      </c>
      <c r="F135" s="13" t="s">
        <v>13</v>
      </c>
      <c r="G135" s="13" t="s">
        <v>50</v>
      </c>
      <c r="H135" s="13" t="s">
        <v>17</v>
      </c>
      <c r="I135" s="28" t="s">
        <v>20</v>
      </c>
      <c r="J135" s="28" t="s">
        <v>21</v>
      </c>
      <c r="K135" s="28"/>
      <c r="L135" s="28"/>
      <c r="M135" s="28"/>
      <c r="N135" s="28"/>
      <c r="O135" s="28" t="s">
        <v>22</v>
      </c>
      <c r="P135" s="28" t="s">
        <v>49</v>
      </c>
      <c r="Q135" s="28" t="s">
        <v>23</v>
      </c>
      <c r="R135" s="28"/>
      <c r="S135" s="28" t="s">
        <v>71</v>
      </c>
      <c r="T135" s="28"/>
      <c r="U135" s="28" t="s">
        <v>72</v>
      </c>
      <c r="V135" s="28"/>
      <c r="W135" s="28"/>
      <c r="X135" s="28"/>
      <c r="Y135" s="28"/>
      <c r="Z135" s="28"/>
      <c r="AA135" s="28"/>
      <c r="AB135" s="28" t="s">
        <v>24</v>
      </c>
      <c r="AC135" s="28"/>
      <c r="AD135" s="28" t="s">
        <v>25</v>
      </c>
      <c r="AE135" s="116"/>
      <c r="AF135" s="116"/>
      <c r="AG135" s="116"/>
      <c r="AH135" s="28" t="s">
        <v>25</v>
      </c>
      <c r="AI135" s="116"/>
      <c r="AJ135" s="116"/>
      <c r="AK135" s="116"/>
      <c r="AL135" s="116"/>
      <c r="AZ135" s="28" t="s">
        <v>32</v>
      </c>
    </row>
    <row r="136" spans="1:52" ht="16" thickTop="1" x14ac:dyDescent="0.2">
      <c r="A136" s="250"/>
      <c r="B136" s="14" t="s">
        <v>0</v>
      </c>
      <c r="C136" s="2">
        <f t="shared" ref="C136:C147" si="141">VLOOKUP($B136,$B$10:$Q$23,2,FALSE)*(1+$C$132)</f>
        <v>91531838.725494802</v>
      </c>
      <c r="D136" s="2">
        <f t="shared" ref="D136:D147" si="142">VLOOKUP($B136,$B$10:$Q$23,3,FALSE)*(1+$C$132)</f>
        <v>14874252.990653023</v>
      </c>
      <c r="E136" s="2">
        <f t="shared" ref="E136:E147" si="143">AZ111</f>
        <v>70525999.353872776</v>
      </c>
      <c r="F136" s="4">
        <f t="shared" ref="F136:F147" si="144">C136-E136-D136</f>
        <v>6131586.3809690028</v>
      </c>
      <c r="G136" s="1">
        <f>1-H136</f>
        <v>0.93301143660669039</v>
      </c>
      <c r="H136" s="1">
        <f t="shared" ref="H136:H148" si="145">MAX(0,F136/C136)</f>
        <v>6.6988563393309636E-2</v>
      </c>
      <c r="I136" s="29">
        <f>MIN($C$5,($C$4*0.5))*$C$8</f>
        <v>0.03</v>
      </c>
      <c r="J136" s="2">
        <f t="shared" ref="J136:J147" si="146">I136*E136</f>
        <v>2115779.980616183</v>
      </c>
      <c r="K136" s="2"/>
      <c r="L136" s="2"/>
      <c r="M136" s="2"/>
      <c r="N136" s="2"/>
      <c r="O136" s="16">
        <f t="shared" ref="O136:O147" si="147">H136/$H$149</f>
        <v>3.1216587366665622E-2</v>
      </c>
      <c r="P136" s="16">
        <f t="shared" ref="P136:P147" si="148">G136/$G$149</f>
        <v>9.4682835743712321E-2</v>
      </c>
      <c r="Q136" s="2">
        <f>$J$149*IF($J$149&lt;0,P136,O136)*0.5</f>
        <v>2827790.8086355426</v>
      </c>
      <c r="R136" s="2"/>
      <c r="S136" s="16">
        <f t="shared" ref="S136:S147" si="149">MAX(0,F136)/$F$148</f>
        <v>6.3473541768144289E-3</v>
      </c>
      <c r="T136" s="16"/>
      <c r="U136" s="2">
        <f t="shared" ref="U136:U147" si="150">S136*$J$149*0.5</f>
        <v>574982.44729713618</v>
      </c>
      <c r="V136" s="2"/>
      <c r="W136" s="2"/>
      <c r="X136" s="2"/>
      <c r="Y136" s="2"/>
      <c r="Z136" s="2"/>
      <c r="AA136" s="2"/>
      <c r="AB136" s="2">
        <f t="shared" ref="AB136:AB147" si="151">J136+Q136+U136</f>
        <v>5518553.2365488624</v>
      </c>
      <c r="AC136" s="2"/>
      <c r="AD136" s="16">
        <f t="shared" ref="AD136:AD148" si="152">AB136/E136</f>
        <v>7.8248493989554843E-2</v>
      </c>
      <c r="AE136" s="16"/>
      <c r="AF136" s="16"/>
      <c r="AG136" s="16"/>
      <c r="AH136" s="16">
        <f t="shared" ref="AH136:AH148" si="153">AG136/H136</f>
        <v>0</v>
      </c>
      <c r="AI136" s="16"/>
      <c r="AJ136" s="16"/>
      <c r="AK136" s="16"/>
      <c r="AL136" s="16"/>
      <c r="AZ136" s="2">
        <f t="shared" ref="AZ136:AZ147" si="154">AB136+E136</f>
        <v>76044552.590421632</v>
      </c>
    </row>
    <row r="137" spans="1:52" x14ac:dyDescent="0.2">
      <c r="A137" s="250"/>
      <c r="B137" s="14" t="s">
        <v>1</v>
      </c>
      <c r="C137" s="2">
        <f t="shared" si="141"/>
        <v>195155136.15757489</v>
      </c>
      <c r="D137" s="2">
        <f t="shared" si="142"/>
        <v>66047323.483976312</v>
      </c>
      <c r="E137" s="2">
        <f t="shared" si="143"/>
        <v>95064818.272871256</v>
      </c>
      <c r="F137" s="4">
        <f t="shared" si="144"/>
        <v>34042994.400727324</v>
      </c>
      <c r="G137" s="1">
        <f t="shared" ref="G137:G147" si="155">1-H137</f>
        <v>0.82555932131225152</v>
      </c>
      <c r="H137" s="1">
        <f t="shared" si="145"/>
        <v>0.17444067868774846</v>
      </c>
      <c r="I137" s="29">
        <f t="shared" ref="I137:I147" si="156">MIN($C$5,($C$4*0.5))*$C$8</f>
        <v>0.03</v>
      </c>
      <c r="J137" s="2">
        <f t="shared" si="146"/>
        <v>2851944.5481861373</v>
      </c>
      <c r="K137" s="2"/>
      <c r="L137" s="2"/>
      <c r="M137" s="2"/>
      <c r="N137" s="2"/>
      <c r="O137" s="16">
        <f t="shared" si="147"/>
        <v>8.1289139678735065E-2</v>
      </c>
      <c r="P137" s="16">
        <f t="shared" si="148"/>
        <v>8.3778498901133425E-2</v>
      </c>
      <c r="Q137" s="2">
        <f t="shared" ref="Q137:Q147" si="157">$J$149*IF($J$149&lt;0,P137,O137)*0.5</f>
        <v>7363671.0933649717</v>
      </c>
      <c r="R137" s="2"/>
      <c r="S137" s="16">
        <f t="shared" si="149"/>
        <v>3.5240952222641314E-2</v>
      </c>
      <c r="T137" s="16"/>
      <c r="U137" s="2">
        <f t="shared" si="150"/>
        <v>3192342.5713460324</v>
      </c>
      <c r="V137" s="2"/>
      <c r="W137" s="2"/>
      <c r="X137" s="2"/>
      <c r="Y137" s="2"/>
      <c r="Z137" s="2"/>
      <c r="AA137" s="2"/>
      <c r="AB137" s="2">
        <f t="shared" si="151"/>
        <v>13407958.212897141</v>
      </c>
      <c r="AC137" s="2"/>
      <c r="AD137" s="16">
        <f t="shared" si="152"/>
        <v>0.1410401708696411</v>
      </c>
      <c r="AE137" s="16"/>
      <c r="AF137" s="16"/>
      <c r="AG137" s="16"/>
      <c r="AH137" s="16">
        <f t="shared" si="153"/>
        <v>0</v>
      </c>
      <c r="AI137" s="16"/>
      <c r="AJ137" s="16"/>
      <c r="AK137" s="16"/>
      <c r="AL137" s="16"/>
      <c r="AZ137" s="2">
        <f t="shared" si="154"/>
        <v>108472776.48576839</v>
      </c>
    </row>
    <row r="138" spans="1:52" x14ac:dyDescent="0.2">
      <c r="A138" s="250"/>
      <c r="B138" s="14" t="s">
        <v>2</v>
      </c>
      <c r="C138" s="2">
        <f t="shared" si="141"/>
        <v>134655178.79541892</v>
      </c>
      <c r="D138" s="2">
        <f t="shared" si="142"/>
        <v>30751358.044549797</v>
      </c>
      <c r="E138" s="2">
        <f t="shared" si="143"/>
        <v>79441317.68917124</v>
      </c>
      <c r="F138" s="4">
        <f t="shared" si="144"/>
        <v>24462503.061697882</v>
      </c>
      <c r="G138" s="1">
        <f t="shared" si="155"/>
        <v>0.81833225219756556</v>
      </c>
      <c r="H138" s="1">
        <f t="shared" si="145"/>
        <v>0.18166774780243444</v>
      </c>
      <c r="I138" s="29">
        <f t="shared" si="156"/>
        <v>0.03</v>
      </c>
      <c r="J138" s="2">
        <f t="shared" si="146"/>
        <v>2383239.5306751369</v>
      </c>
      <c r="K138" s="2"/>
      <c r="L138" s="2"/>
      <c r="M138" s="2"/>
      <c r="N138" s="2"/>
      <c r="O138" s="16">
        <f t="shared" si="147"/>
        <v>8.4656944912875343E-2</v>
      </c>
      <c r="P138" s="16">
        <f t="shared" si="148"/>
        <v>8.3045089458283552E-2</v>
      </c>
      <c r="Q138" s="2">
        <f t="shared" si="157"/>
        <v>7668747.6404748615</v>
      </c>
      <c r="R138" s="2"/>
      <c r="S138" s="16">
        <f t="shared" si="149"/>
        <v>2.5323327657249026E-2</v>
      </c>
      <c r="T138" s="16"/>
      <c r="U138" s="2">
        <f t="shared" si="150"/>
        <v>2293943.0358650349</v>
      </c>
      <c r="V138" s="2"/>
      <c r="W138" s="2"/>
      <c r="X138" s="2"/>
      <c r="Y138" s="2"/>
      <c r="Z138" s="2"/>
      <c r="AA138" s="2"/>
      <c r="AB138" s="2">
        <f t="shared" si="151"/>
        <v>12345930.207015034</v>
      </c>
      <c r="AC138" s="2"/>
      <c r="AD138" s="16">
        <f t="shared" si="152"/>
        <v>0.15540943385809328</v>
      </c>
      <c r="AE138" s="16"/>
      <c r="AF138" s="16"/>
      <c r="AG138" s="16"/>
      <c r="AH138" s="16">
        <f t="shared" si="153"/>
        <v>0</v>
      </c>
      <c r="AI138" s="16"/>
      <c r="AJ138" s="16"/>
      <c r="AK138" s="16"/>
      <c r="AL138" s="16"/>
      <c r="AZ138" s="2">
        <f t="shared" si="154"/>
        <v>91787247.896186277</v>
      </c>
    </row>
    <row r="139" spans="1:52" x14ac:dyDescent="0.2">
      <c r="A139" s="250"/>
      <c r="B139" s="14" t="s">
        <v>3</v>
      </c>
      <c r="C139" s="2">
        <f t="shared" si="141"/>
        <v>554885942.85349238</v>
      </c>
      <c r="D139" s="2">
        <f t="shared" si="142"/>
        <v>219365659.11800677</v>
      </c>
      <c r="E139" s="2">
        <f t="shared" si="143"/>
        <v>176094108.44094244</v>
      </c>
      <c r="F139" s="4">
        <f t="shared" si="144"/>
        <v>159426175.29454321</v>
      </c>
      <c r="G139" s="1">
        <f t="shared" si="155"/>
        <v>0.71268658478768343</v>
      </c>
      <c r="H139" s="1">
        <f t="shared" si="145"/>
        <v>0.28731341521231657</v>
      </c>
      <c r="I139" s="29">
        <f t="shared" si="156"/>
        <v>0.03</v>
      </c>
      <c r="J139" s="2">
        <f t="shared" si="146"/>
        <v>5282823.2532282732</v>
      </c>
      <c r="K139" s="2"/>
      <c r="L139" s="2"/>
      <c r="M139" s="2"/>
      <c r="N139" s="2"/>
      <c r="O139" s="16">
        <f t="shared" si="147"/>
        <v>0.13388769475367063</v>
      </c>
      <c r="P139" s="16">
        <f t="shared" si="148"/>
        <v>7.2324072564016476E-2</v>
      </c>
      <c r="Q139" s="2">
        <f t="shared" si="157"/>
        <v>12128372.271022895</v>
      </c>
      <c r="R139" s="2"/>
      <c r="S139" s="16">
        <f t="shared" si="149"/>
        <v>0.16503631144954162</v>
      </c>
      <c r="T139" s="16"/>
      <c r="U139" s="2">
        <f t="shared" si="150"/>
        <v>14950005.877531499</v>
      </c>
      <c r="V139" s="2"/>
      <c r="W139" s="2"/>
      <c r="X139" s="2"/>
      <c r="Y139" s="2"/>
      <c r="Z139" s="2"/>
      <c r="AA139" s="2"/>
      <c r="AB139" s="2">
        <f t="shared" si="151"/>
        <v>32361201.401782669</v>
      </c>
      <c r="AC139" s="2"/>
      <c r="AD139" s="16">
        <f t="shared" si="152"/>
        <v>0.18377219821999785</v>
      </c>
      <c r="AE139" s="16"/>
      <c r="AF139" s="16"/>
      <c r="AG139" s="16"/>
      <c r="AH139" s="16">
        <f t="shared" si="153"/>
        <v>0</v>
      </c>
      <c r="AI139" s="16"/>
      <c r="AJ139" s="16"/>
      <c r="AK139" s="16"/>
      <c r="AL139" s="16"/>
      <c r="AZ139" s="2">
        <f t="shared" si="154"/>
        <v>208455309.8427251</v>
      </c>
    </row>
    <row r="140" spans="1:52" x14ac:dyDescent="0.2">
      <c r="A140" s="250"/>
      <c r="B140" s="14" t="s">
        <v>4</v>
      </c>
      <c r="C140" s="2">
        <f t="shared" si="141"/>
        <v>199746785.65727386</v>
      </c>
      <c r="D140" s="2">
        <f t="shared" si="142"/>
        <v>33725714.104253456</v>
      </c>
      <c r="E140" s="2">
        <f t="shared" si="143"/>
        <v>112264144.6320565</v>
      </c>
      <c r="F140" s="4">
        <f t="shared" si="144"/>
        <v>53756926.920963898</v>
      </c>
      <c r="G140" s="1">
        <f t="shared" si="155"/>
        <v>0.73087463338108383</v>
      </c>
      <c r="H140" s="1">
        <f t="shared" si="145"/>
        <v>0.26912536661891617</v>
      </c>
      <c r="I140" s="29">
        <f t="shared" si="156"/>
        <v>0.03</v>
      </c>
      <c r="J140" s="2">
        <f t="shared" si="146"/>
        <v>3367924.3389616949</v>
      </c>
      <c r="K140" s="2"/>
      <c r="L140" s="2"/>
      <c r="M140" s="2"/>
      <c r="N140" s="2"/>
      <c r="O140" s="16">
        <f t="shared" si="147"/>
        <v>0.12541208669186604</v>
      </c>
      <c r="P140" s="16">
        <f t="shared" si="148"/>
        <v>7.416981201575433E-2</v>
      </c>
      <c r="Q140" s="2">
        <f t="shared" si="157"/>
        <v>11360599.474680604</v>
      </c>
      <c r="R140" s="2"/>
      <c r="S140" s="16">
        <f t="shared" si="149"/>
        <v>5.5648609254456027E-2</v>
      </c>
      <c r="T140" s="16"/>
      <c r="U140" s="2">
        <f t="shared" si="150"/>
        <v>5040993.8765804991</v>
      </c>
      <c r="V140" s="2"/>
      <c r="W140" s="2"/>
      <c r="X140" s="2"/>
      <c r="Y140" s="2"/>
      <c r="Z140" s="2"/>
      <c r="AA140" s="2"/>
      <c r="AB140" s="2">
        <f t="shared" si="151"/>
        <v>19769517.6902228</v>
      </c>
      <c r="AC140" s="2"/>
      <c r="AD140" s="16">
        <f t="shared" si="152"/>
        <v>0.17609823470367142</v>
      </c>
      <c r="AE140" s="16"/>
      <c r="AF140" s="16"/>
      <c r="AG140" s="16"/>
      <c r="AH140" s="16">
        <f t="shared" si="153"/>
        <v>0</v>
      </c>
      <c r="AI140" s="16"/>
      <c r="AJ140" s="16"/>
      <c r="AK140" s="16"/>
      <c r="AL140" s="16"/>
      <c r="AZ140" s="2">
        <f t="shared" si="154"/>
        <v>132033662.3222793</v>
      </c>
    </row>
    <row r="141" spans="1:52" x14ac:dyDescent="0.2">
      <c r="A141" s="250"/>
      <c r="B141" s="14" t="s">
        <v>5</v>
      </c>
      <c r="C141" s="2">
        <f t="shared" si="141"/>
        <v>473088689.16673642</v>
      </c>
      <c r="D141" s="2">
        <f t="shared" si="142"/>
        <v>150513045.4595305</v>
      </c>
      <c r="E141" s="2">
        <f t="shared" si="143"/>
        <v>189830241.58969545</v>
      </c>
      <c r="F141" s="4">
        <f t="shared" si="144"/>
        <v>132745402.11751047</v>
      </c>
      <c r="G141" s="1">
        <f t="shared" si="155"/>
        <v>0.71940694174845221</v>
      </c>
      <c r="H141" s="1">
        <f t="shared" si="145"/>
        <v>0.28059305825154779</v>
      </c>
      <c r="I141" s="29">
        <f t="shared" si="156"/>
        <v>0.03</v>
      </c>
      <c r="J141" s="2">
        <f t="shared" si="146"/>
        <v>5694907.247690863</v>
      </c>
      <c r="K141" s="2"/>
      <c r="L141" s="2"/>
      <c r="M141" s="2"/>
      <c r="N141" s="2"/>
      <c r="O141" s="16">
        <f t="shared" si="147"/>
        <v>0.13075601675410975</v>
      </c>
      <c r="P141" s="16">
        <f t="shared" si="148"/>
        <v>7.3006060403918827E-2</v>
      </c>
      <c r="Q141" s="2">
        <f t="shared" si="157"/>
        <v>11844685.583597835</v>
      </c>
      <c r="R141" s="2"/>
      <c r="S141" s="16">
        <f t="shared" si="149"/>
        <v>0.13741665373885409</v>
      </c>
      <c r="T141" s="16"/>
      <c r="U141" s="2">
        <f t="shared" si="150"/>
        <v>12448047.117768308</v>
      </c>
      <c r="V141" s="2"/>
      <c r="W141" s="2"/>
      <c r="X141" s="2"/>
      <c r="Y141" s="2"/>
      <c r="Z141" s="2"/>
      <c r="AA141" s="2"/>
      <c r="AB141" s="2">
        <f t="shared" si="151"/>
        <v>29987639.949057005</v>
      </c>
      <c r="AC141" s="2"/>
      <c r="AD141" s="16">
        <f t="shared" si="152"/>
        <v>0.1579708253960565</v>
      </c>
      <c r="AE141" s="16"/>
      <c r="AF141" s="16"/>
      <c r="AG141" s="16"/>
      <c r="AH141" s="16">
        <f t="shared" si="153"/>
        <v>0</v>
      </c>
      <c r="AI141" s="16"/>
      <c r="AJ141" s="16"/>
      <c r="AK141" s="16"/>
      <c r="AL141" s="16"/>
      <c r="AZ141" s="2">
        <f t="shared" si="154"/>
        <v>219817881.53875247</v>
      </c>
    </row>
    <row r="142" spans="1:52" x14ac:dyDescent="0.2">
      <c r="A142" s="250"/>
      <c r="B142" s="14" t="s">
        <v>6</v>
      </c>
      <c r="C142" s="2">
        <f t="shared" si="141"/>
        <v>344995638.10189116</v>
      </c>
      <c r="D142" s="2">
        <f t="shared" si="142"/>
        <v>154457452.85841084</v>
      </c>
      <c r="E142" s="2">
        <f t="shared" si="143"/>
        <v>171952938.0833993</v>
      </c>
      <c r="F142" s="4">
        <f t="shared" si="144"/>
        <v>18585247.160081029</v>
      </c>
      <c r="G142" s="1">
        <f t="shared" si="155"/>
        <v>0.94612903727614073</v>
      </c>
      <c r="H142" s="1">
        <f t="shared" si="145"/>
        <v>5.3870962723859293E-2</v>
      </c>
      <c r="I142" s="29">
        <f t="shared" si="156"/>
        <v>0.03</v>
      </c>
      <c r="J142" s="2">
        <f t="shared" si="146"/>
        <v>5158588.1425019791</v>
      </c>
      <c r="K142" s="2"/>
      <c r="L142" s="2"/>
      <c r="M142" s="2"/>
      <c r="N142" s="2"/>
      <c r="O142" s="16">
        <f t="shared" si="147"/>
        <v>2.5103801741831265E-2</v>
      </c>
      <c r="P142" s="16">
        <f t="shared" si="148"/>
        <v>9.6014021601470184E-2</v>
      </c>
      <c r="Q142" s="2">
        <f t="shared" si="157"/>
        <v>2274057.0259503657</v>
      </c>
      <c r="R142" s="2"/>
      <c r="S142" s="16">
        <f t="shared" si="149"/>
        <v>1.9239253736163777E-2</v>
      </c>
      <c r="T142" s="16"/>
      <c r="U142" s="2">
        <f t="shared" si="150"/>
        <v>1742810.1361978615</v>
      </c>
      <c r="V142" s="2"/>
      <c r="W142" s="2"/>
      <c r="X142" s="2"/>
      <c r="Y142" s="2"/>
      <c r="Z142" s="2"/>
      <c r="AA142" s="2"/>
      <c r="AB142" s="2">
        <f t="shared" si="151"/>
        <v>9175455.3046502061</v>
      </c>
      <c r="AC142" s="2"/>
      <c r="AD142" s="16">
        <f t="shared" si="152"/>
        <v>5.3360270588688613E-2</v>
      </c>
      <c r="AE142" s="16"/>
      <c r="AF142" s="16"/>
      <c r="AG142" s="16"/>
      <c r="AH142" s="16">
        <f t="shared" si="153"/>
        <v>0</v>
      </c>
      <c r="AI142" s="16"/>
      <c r="AJ142" s="16"/>
      <c r="AK142" s="16"/>
      <c r="AL142" s="16"/>
      <c r="AZ142" s="2">
        <f t="shared" si="154"/>
        <v>181128393.38804951</v>
      </c>
    </row>
    <row r="143" spans="1:52" x14ac:dyDescent="0.2">
      <c r="A143" s="250"/>
      <c r="B143" s="14" t="s">
        <v>7</v>
      </c>
      <c r="C143" s="2">
        <f t="shared" si="141"/>
        <v>382949522.49738133</v>
      </c>
      <c r="D143" s="2">
        <f t="shared" si="142"/>
        <v>158856219.25687766</v>
      </c>
      <c r="E143" s="2">
        <f t="shared" si="143"/>
        <v>137257273.75110608</v>
      </c>
      <c r="F143" s="4">
        <f t="shared" si="144"/>
        <v>86836029.489397585</v>
      </c>
      <c r="G143" s="1">
        <f t="shared" si="155"/>
        <v>0.77324418914769277</v>
      </c>
      <c r="H143" s="1">
        <f t="shared" si="145"/>
        <v>0.22675581085230725</v>
      </c>
      <c r="I143" s="29">
        <f t="shared" si="156"/>
        <v>0.03</v>
      </c>
      <c r="J143" s="2">
        <f t="shared" si="146"/>
        <v>4117718.2125331825</v>
      </c>
      <c r="K143" s="2"/>
      <c r="L143" s="2"/>
      <c r="M143" s="2"/>
      <c r="N143" s="2"/>
      <c r="O143" s="16">
        <f t="shared" si="147"/>
        <v>0.10566792631168906</v>
      </c>
      <c r="P143" s="16">
        <f t="shared" si="148"/>
        <v>7.8469512460771496E-2</v>
      </c>
      <c r="Q143" s="2">
        <f t="shared" si="157"/>
        <v>9572051.7839451768</v>
      </c>
      <c r="R143" s="2"/>
      <c r="S143" s="16">
        <f t="shared" si="149"/>
        <v>8.9891750720211383E-2</v>
      </c>
      <c r="T143" s="16"/>
      <c r="U143" s="2">
        <f t="shared" si="150"/>
        <v>8142948.6020695297</v>
      </c>
      <c r="V143" s="2"/>
      <c r="W143" s="2"/>
      <c r="X143" s="2"/>
      <c r="Y143" s="2"/>
      <c r="Z143" s="2"/>
      <c r="AA143" s="2"/>
      <c r="AB143" s="2">
        <f t="shared" si="151"/>
        <v>21832718.598547891</v>
      </c>
      <c r="AC143" s="2"/>
      <c r="AD143" s="16">
        <f t="shared" si="152"/>
        <v>0.15906420113033864</v>
      </c>
      <c r="AE143" s="16"/>
      <c r="AF143" s="16"/>
      <c r="AG143" s="16"/>
      <c r="AH143" s="16">
        <f t="shared" si="153"/>
        <v>0</v>
      </c>
      <c r="AI143" s="16"/>
      <c r="AJ143" s="16"/>
      <c r="AK143" s="16"/>
      <c r="AL143" s="16"/>
      <c r="AZ143" s="2">
        <f t="shared" si="154"/>
        <v>159089992.34965396</v>
      </c>
    </row>
    <row r="144" spans="1:52" x14ac:dyDescent="0.2">
      <c r="A144" s="250"/>
      <c r="B144" s="14" t="s">
        <v>8</v>
      </c>
      <c r="C144" s="2">
        <f t="shared" si="141"/>
        <v>1079192109.4492674</v>
      </c>
      <c r="D144" s="2">
        <f t="shared" si="142"/>
        <v>372009031.37407953</v>
      </c>
      <c r="E144" s="2">
        <f t="shared" si="143"/>
        <v>418730605.23624325</v>
      </c>
      <c r="F144" s="4">
        <f t="shared" si="144"/>
        <v>288452472.83894461</v>
      </c>
      <c r="G144" s="1">
        <f t="shared" si="155"/>
        <v>0.73271443488764243</v>
      </c>
      <c r="H144" s="1">
        <f t="shared" si="145"/>
        <v>0.26728556511235751</v>
      </c>
      <c r="I144" s="29">
        <f t="shared" si="156"/>
        <v>0.03</v>
      </c>
      <c r="J144" s="2">
        <f t="shared" si="146"/>
        <v>12561918.157087296</v>
      </c>
      <c r="K144" s="2"/>
      <c r="L144" s="2"/>
      <c r="M144" s="2"/>
      <c r="N144" s="2"/>
      <c r="O144" s="16">
        <f t="shared" si="147"/>
        <v>0.12455474147415166</v>
      </c>
      <c r="P144" s="16">
        <f t="shared" si="148"/>
        <v>7.4356516719482374E-2</v>
      </c>
      <c r="Q144" s="2">
        <f t="shared" si="157"/>
        <v>11282935.862768007</v>
      </c>
      <c r="R144" s="2"/>
      <c r="S144" s="16">
        <f t="shared" si="149"/>
        <v>0.2986029869805697</v>
      </c>
      <c r="T144" s="16"/>
      <c r="U144" s="2">
        <f t="shared" si="150"/>
        <v>27049298.249572441</v>
      </c>
      <c r="V144" s="2"/>
      <c r="W144" s="2"/>
      <c r="X144" s="2"/>
      <c r="Y144" s="2"/>
      <c r="Z144" s="2"/>
      <c r="AA144" s="2"/>
      <c r="AB144" s="2">
        <f t="shared" si="151"/>
        <v>50894152.269427747</v>
      </c>
      <c r="AC144" s="2"/>
      <c r="AD144" s="16">
        <f t="shared" si="152"/>
        <v>0.12154390348590312</v>
      </c>
      <c r="AE144" s="16"/>
      <c r="AF144" s="16"/>
      <c r="AG144" s="16"/>
      <c r="AH144" s="16">
        <f t="shared" si="153"/>
        <v>0</v>
      </c>
      <c r="AI144" s="16"/>
      <c r="AJ144" s="16"/>
      <c r="AK144" s="16"/>
      <c r="AL144" s="16"/>
      <c r="AZ144" s="2">
        <f t="shared" si="154"/>
        <v>469624757.50567102</v>
      </c>
    </row>
    <row r="145" spans="1:52" x14ac:dyDescent="0.2">
      <c r="A145" s="250"/>
      <c r="B145" s="14" t="s">
        <v>9</v>
      </c>
      <c r="C145" s="2">
        <f t="shared" si="141"/>
        <v>108643503.89994888</v>
      </c>
      <c r="D145" s="2">
        <f t="shared" si="142"/>
        <v>46683926.573001377</v>
      </c>
      <c r="E145" s="2">
        <f t="shared" si="143"/>
        <v>53585487.534724444</v>
      </c>
      <c r="F145" s="4">
        <f t="shared" si="144"/>
        <v>8374089.7922230586</v>
      </c>
      <c r="G145" s="1">
        <f t="shared" si="155"/>
        <v>0.92292139436210696</v>
      </c>
      <c r="H145" s="1">
        <f t="shared" si="145"/>
        <v>7.707860563789308E-2</v>
      </c>
      <c r="I145" s="29">
        <f t="shared" si="156"/>
        <v>0.03</v>
      </c>
      <c r="J145" s="2">
        <f t="shared" si="146"/>
        <v>1607564.6260417332</v>
      </c>
      <c r="K145" s="2"/>
      <c r="L145" s="2"/>
      <c r="M145" s="2"/>
      <c r="N145" s="2"/>
      <c r="O145" s="16">
        <f t="shared" si="147"/>
        <v>3.5918534524601593E-2</v>
      </c>
      <c r="P145" s="16">
        <f t="shared" si="148"/>
        <v>9.3658889224936967E-2</v>
      </c>
      <c r="Q145" s="2">
        <f t="shared" si="157"/>
        <v>3253722.1508327844</v>
      </c>
      <c r="R145" s="2"/>
      <c r="S145" s="16">
        <f t="shared" si="149"/>
        <v>8.6687702850703451E-3</v>
      </c>
      <c r="T145" s="16"/>
      <c r="U145" s="2">
        <f t="shared" si="150"/>
        <v>785270.62059548963</v>
      </c>
      <c r="V145" s="2"/>
      <c r="W145" s="2"/>
      <c r="X145" s="2"/>
      <c r="Y145" s="2"/>
      <c r="Z145" s="2"/>
      <c r="AA145" s="2"/>
      <c r="AB145" s="2">
        <f t="shared" si="151"/>
        <v>5646557.3974700077</v>
      </c>
      <c r="AC145" s="2"/>
      <c r="AD145" s="16">
        <f t="shared" si="152"/>
        <v>0.10537475083735924</v>
      </c>
      <c r="AE145" s="16"/>
      <c r="AF145" s="16"/>
      <c r="AG145" s="16"/>
      <c r="AH145" s="16">
        <f t="shared" si="153"/>
        <v>0</v>
      </c>
      <c r="AI145" s="16"/>
      <c r="AJ145" s="16"/>
      <c r="AK145" s="16"/>
      <c r="AL145" s="16"/>
      <c r="AZ145" s="2">
        <f t="shared" si="154"/>
        <v>59232044.932194449</v>
      </c>
    </row>
    <row r="146" spans="1:52" x14ac:dyDescent="0.2">
      <c r="A146" s="250"/>
      <c r="B146" s="14" t="s">
        <v>10</v>
      </c>
      <c r="C146" s="2">
        <f t="shared" si="141"/>
        <v>1447532480.9118042</v>
      </c>
      <c r="D146" s="2">
        <f t="shared" si="142"/>
        <v>935555033.29905498</v>
      </c>
      <c r="E146" s="2">
        <f t="shared" si="143"/>
        <v>401329138.7333917</v>
      </c>
      <c r="F146" s="4">
        <f t="shared" si="144"/>
        <v>110648308.87935746</v>
      </c>
      <c r="G146" s="1">
        <f t="shared" si="155"/>
        <v>0.92356074192569426</v>
      </c>
      <c r="H146" s="1">
        <f t="shared" si="145"/>
        <v>7.6439258074305752E-2</v>
      </c>
      <c r="I146" s="29">
        <f t="shared" si="156"/>
        <v>0.03</v>
      </c>
      <c r="J146" s="2">
        <f t="shared" si="146"/>
        <v>12039874.162001751</v>
      </c>
      <c r="K146" s="2"/>
      <c r="L146" s="2"/>
      <c r="M146" s="2"/>
      <c r="N146" s="2"/>
      <c r="O146" s="16">
        <f t="shared" si="147"/>
        <v>3.5620599353799264E-2</v>
      </c>
      <c r="P146" s="16">
        <f t="shared" si="148"/>
        <v>9.3723770787982372E-2</v>
      </c>
      <c r="Q146" s="2">
        <f t="shared" si="157"/>
        <v>3226733.3474870431</v>
      </c>
      <c r="R146" s="2"/>
      <c r="S146" s="16">
        <f t="shared" si="149"/>
        <v>0.11454197362410005</v>
      </c>
      <c r="T146" s="16"/>
      <c r="U146" s="2">
        <f t="shared" si="150"/>
        <v>10375917.662386108</v>
      </c>
      <c r="V146" s="2"/>
      <c r="W146" s="2"/>
      <c r="X146" s="2"/>
      <c r="Y146" s="2"/>
      <c r="Z146" s="2"/>
      <c r="AA146" s="2"/>
      <c r="AB146" s="2">
        <f t="shared" si="151"/>
        <v>25642525.171874903</v>
      </c>
      <c r="AC146" s="2"/>
      <c r="AD146" s="16">
        <f t="shared" si="152"/>
        <v>6.3894002944325387E-2</v>
      </c>
      <c r="AE146" s="16"/>
      <c r="AF146" s="16"/>
      <c r="AG146" s="16"/>
      <c r="AH146" s="16">
        <f t="shared" si="153"/>
        <v>0</v>
      </c>
      <c r="AI146" s="16"/>
      <c r="AJ146" s="16"/>
      <c r="AK146" s="16"/>
      <c r="AL146" s="16"/>
      <c r="AZ146" s="2">
        <f t="shared" si="154"/>
        <v>426971663.90526658</v>
      </c>
    </row>
    <row r="147" spans="1:52" x14ac:dyDescent="0.2">
      <c r="A147" s="250"/>
      <c r="B147" s="14" t="s">
        <v>11</v>
      </c>
      <c r="C147" s="2">
        <f t="shared" si="141"/>
        <v>230759073.74811682</v>
      </c>
      <c r="D147" s="2">
        <f t="shared" si="142"/>
        <v>81264427.996618032</v>
      </c>
      <c r="E147" s="2">
        <f t="shared" si="143"/>
        <v>106949726.37514205</v>
      </c>
      <c r="F147" s="4">
        <f t="shared" si="144"/>
        <v>42544919.376356736</v>
      </c>
      <c r="G147" s="1">
        <f t="shared" si="155"/>
        <v>0.81563056791085797</v>
      </c>
      <c r="H147" s="1">
        <f t="shared" si="145"/>
        <v>0.184369432089142</v>
      </c>
      <c r="I147" s="29">
        <f t="shared" si="156"/>
        <v>0.03</v>
      </c>
      <c r="J147" s="2">
        <f t="shared" si="146"/>
        <v>3208491.7912542615</v>
      </c>
      <c r="K147" s="2"/>
      <c r="L147" s="2"/>
      <c r="M147" s="2"/>
      <c r="N147" s="2"/>
      <c r="O147" s="16">
        <f t="shared" si="147"/>
        <v>8.5915926436004666E-2</v>
      </c>
      <c r="P147" s="16">
        <f t="shared" si="148"/>
        <v>8.2770920118537789E-2</v>
      </c>
      <c r="Q147" s="2">
        <f t="shared" si="157"/>
        <v>7782793.943407665</v>
      </c>
      <c r="R147" s="2"/>
      <c r="S147" s="16">
        <f t="shared" si="149"/>
        <v>4.4042056154328234E-2</v>
      </c>
      <c r="T147" s="16"/>
      <c r="U147" s="2">
        <f t="shared" si="150"/>
        <v>3989600.7889578179</v>
      </c>
      <c r="V147" s="2"/>
      <c r="W147" s="2"/>
      <c r="X147" s="2"/>
      <c r="Y147" s="2"/>
      <c r="Z147" s="2"/>
      <c r="AA147" s="2"/>
      <c r="AB147" s="2">
        <f t="shared" si="151"/>
        <v>14980886.523619743</v>
      </c>
      <c r="AC147" s="2"/>
      <c r="AD147" s="16">
        <f t="shared" si="152"/>
        <v>0.14007409865708359</v>
      </c>
      <c r="AE147" s="16"/>
      <c r="AF147" s="16"/>
      <c r="AG147" s="16"/>
      <c r="AH147" s="16">
        <f t="shared" si="153"/>
        <v>0</v>
      </c>
      <c r="AI147" s="16"/>
      <c r="AJ147" s="16"/>
      <c r="AK147" s="16"/>
      <c r="AL147" s="16"/>
      <c r="AZ147" s="2">
        <f t="shared" si="154"/>
        <v>121930612.89876179</v>
      </c>
    </row>
    <row r="148" spans="1:52" x14ac:dyDescent="0.2">
      <c r="A148" s="250"/>
      <c r="B148" s="15" t="s">
        <v>14</v>
      </c>
      <c r="C148" s="30">
        <f>SUM(C136:C147)</f>
        <v>5243135899.9644003</v>
      </c>
      <c r="D148" s="30">
        <f>SUM(D136:D147)</f>
        <v>2264103444.5590124</v>
      </c>
      <c r="E148" s="30">
        <f>SUM(E136:E147)</f>
        <v>2013025799.6926167</v>
      </c>
      <c r="F148" s="30">
        <f>SUM(F136:F147)</f>
        <v>966006655.71277225</v>
      </c>
      <c r="G148" s="1">
        <f>1-H148</f>
        <v>0.81575784527741668</v>
      </c>
      <c r="H148" s="11">
        <f t="shared" si="145"/>
        <v>0.18424215472258335</v>
      </c>
      <c r="J148" s="30">
        <f>SUM(J136:J147)</f>
        <v>60390773.990778491</v>
      </c>
      <c r="K148" s="30"/>
      <c r="L148" s="30"/>
      <c r="M148" s="30"/>
      <c r="N148" s="30"/>
      <c r="Q148" s="30">
        <f>SUM(Q136:Q147)</f>
        <v>90586160.986167774</v>
      </c>
      <c r="R148" s="30"/>
      <c r="S148" s="30"/>
      <c r="T148" s="30"/>
      <c r="U148" s="30">
        <f>SUM(U136:U147)</f>
        <v>90586160.986167759</v>
      </c>
      <c r="V148" s="30"/>
      <c r="W148" s="30"/>
      <c r="X148" s="30"/>
      <c r="Y148" s="30"/>
      <c r="Z148" s="30"/>
      <c r="AA148" s="30"/>
      <c r="AB148" s="30">
        <f>SUM(AB136:AB147)</f>
        <v>241563095.96311399</v>
      </c>
      <c r="AC148" s="30"/>
      <c r="AD148" s="16">
        <f t="shared" si="152"/>
        <v>0.12</v>
      </c>
      <c r="AE148" s="16"/>
      <c r="AF148" s="16"/>
      <c r="AG148" s="16"/>
      <c r="AH148" s="16">
        <f t="shared" si="153"/>
        <v>0</v>
      </c>
      <c r="AI148" s="16"/>
      <c r="AJ148" s="16"/>
      <c r="AK148" s="16"/>
      <c r="AL148" s="16"/>
      <c r="AZ148" s="3">
        <f>SUM(AZ136:AZ147)</f>
        <v>2254588895.6557302</v>
      </c>
    </row>
    <row r="149" spans="1:52" x14ac:dyDescent="0.2">
      <c r="C149" s="30"/>
      <c r="D149" s="30"/>
      <c r="E149" s="30"/>
      <c r="F149" s="30"/>
      <c r="G149" s="21">
        <f>SUM(G136:G147)</f>
        <v>9.8540715355438611</v>
      </c>
      <c r="H149" s="21">
        <f>SUM(H136:H147)</f>
        <v>2.1459284644561381</v>
      </c>
      <c r="I149" s="10" t="s">
        <v>30</v>
      </c>
      <c r="J149" s="17">
        <f>C131-SUM(J136:J147)</f>
        <v>181172321.97233552</v>
      </c>
      <c r="K149" s="17"/>
      <c r="L149" s="17"/>
      <c r="M149" s="17"/>
      <c r="N149" s="17"/>
    </row>
    <row r="152" spans="1:52" x14ac:dyDescent="0.2">
      <c r="A152" s="250">
        <v>6</v>
      </c>
      <c r="B152" t="s">
        <v>34</v>
      </c>
      <c r="C152" s="4">
        <f>AZ148</f>
        <v>2254588895.6557302</v>
      </c>
      <c r="D152" s="4"/>
    </row>
    <row r="153" spans="1:52" x14ac:dyDescent="0.2">
      <c r="A153" s="250"/>
      <c r="B153" t="s">
        <v>27</v>
      </c>
      <c r="C153" s="6">
        <f>C152*(1+C154)</f>
        <v>2525139563.134418</v>
      </c>
      <c r="D153" s="6"/>
    </row>
    <row r="154" spans="1:52" x14ac:dyDescent="0.2">
      <c r="A154" s="250"/>
      <c r="B154" t="s">
        <v>28</v>
      </c>
      <c r="C154" s="20">
        <f>C4</f>
        <v>0.12</v>
      </c>
      <c r="D154" s="20"/>
    </row>
    <row r="155" spans="1:52" x14ac:dyDescent="0.2">
      <c r="A155" s="250"/>
      <c r="B155" t="s">
        <v>16</v>
      </c>
      <c r="C155" s="20">
        <f>C5</f>
        <v>0.03</v>
      </c>
      <c r="D155" s="20"/>
    </row>
    <row r="156" spans="1:52" x14ac:dyDescent="0.2">
      <c r="A156" s="250"/>
      <c r="B156" t="s">
        <v>31</v>
      </c>
      <c r="C156" s="6">
        <f>C153-C152</f>
        <v>270550667.47868776</v>
      </c>
      <c r="D156" s="6"/>
    </row>
    <row r="157" spans="1:52" x14ac:dyDescent="0.2">
      <c r="A157" s="250"/>
      <c r="B157" t="s">
        <v>48</v>
      </c>
      <c r="C157" s="20">
        <f>((1+$C$5)^A152)-1</f>
        <v>0.19405229652899991</v>
      </c>
      <c r="D157" s="20"/>
    </row>
    <row r="158" spans="1:52" ht="21" x14ac:dyDescent="0.25">
      <c r="A158" s="250"/>
      <c r="F158" s="6"/>
      <c r="G158" s="6"/>
      <c r="I158" s="251" t="s">
        <v>18</v>
      </c>
      <c r="J158" s="251"/>
      <c r="K158" s="251"/>
      <c r="L158" s="251"/>
      <c r="M158" s="251"/>
      <c r="N158" s="251"/>
      <c r="O158" s="251"/>
      <c r="P158" s="251"/>
      <c r="Q158" s="251"/>
      <c r="R158" s="251"/>
      <c r="S158" s="251"/>
      <c r="T158" s="251"/>
      <c r="U158" s="251"/>
      <c r="V158" s="251"/>
      <c r="W158" s="251"/>
      <c r="X158" s="251"/>
      <c r="Y158" s="251"/>
      <c r="Z158" s="251"/>
      <c r="AA158" s="251"/>
      <c r="AB158" s="251"/>
      <c r="AC158" s="251"/>
      <c r="AD158" s="251"/>
      <c r="AE158" s="107"/>
      <c r="AF158" s="107"/>
      <c r="AG158" s="107"/>
      <c r="AH158" s="107"/>
      <c r="AI158" s="107"/>
      <c r="AJ158" s="107"/>
      <c r="AK158" s="107"/>
      <c r="AL158" s="107"/>
    </row>
    <row r="159" spans="1:52" x14ac:dyDescent="0.2">
      <c r="A159" s="250" t="s">
        <v>51</v>
      </c>
      <c r="I159" s="255" t="s">
        <v>19</v>
      </c>
      <c r="J159" s="255"/>
      <c r="K159" s="255"/>
      <c r="L159" s="255"/>
      <c r="M159" s="255"/>
      <c r="N159" s="255"/>
      <c r="O159" s="255"/>
      <c r="P159" s="255"/>
      <c r="Q159" s="255"/>
      <c r="R159" s="255"/>
      <c r="S159" s="255"/>
      <c r="T159" s="255"/>
      <c r="U159" s="255"/>
      <c r="V159" s="255"/>
      <c r="W159" s="255"/>
      <c r="X159" s="255"/>
      <c r="Y159" s="255"/>
      <c r="Z159" s="255"/>
      <c r="AA159" s="255"/>
      <c r="AB159" s="255"/>
      <c r="AC159" s="255"/>
      <c r="AD159" s="255"/>
      <c r="AE159" s="115"/>
      <c r="AF159" s="115"/>
      <c r="AG159" s="115"/>
      <c r="AH159" s="115"/>
      <c r="AI159" s="115"/>
      <c r="AJ159" s="115"/>
      <c r="AK159" s="115"/>
      <c r="AL159" s="115"/>
    </row>
    <row r="160" spans="1:52" ht="49" thickBot="1" x14ac:dyDescent="0.25">
      <c r="A160" s="250"/>
      <c r="B160" s="22" t="s">
        <v>12</v>
      </c>
      <c r="C160" s="13" t="s">
        <v>15</v>
      </c>
      <c r="D160" s="13" t="s">
        <v>63</v>
      </c>
      <c r="E160" s="13" t="s">
        <v>29</v>
      </c>
      <c r="F160" s="13" t="s">
        <v>13</v>
      </c>
      <c r="G160" s="13" t="s">
        <v>50</v>
      </c>
      <c r="H160" s="13" t="s">
        <v>17</v>
      </c>
      <c r="I160" s="28" t="s">
        <v>20</v>
      </c>
      <c r="J160" s="28" t="s">
        <v>21</v>
      </c>
      <c r="K160" s="28"/>
      <c r="L160" s="28"/>
      <c r="M160" s="28"/>
      <c r="N160" s="28"/>
      <c r="O160" s="28" t="s">
        <v>22</v>
      </c>
      <c r="P160" s="28" t="s">
        <v>49</v>
      </c>
      <c r="Q160" s="28" t="s">
        <v>23</v>
      </c>
      <c r="R160" s="28"/>
      <c r="S160" s="28" t="s">
        <v>71</v>
      </c>
      <c r="T160" s="28"/>
      <c r="U160" s="28" t="s">
        <v>72</v>
      </c>
      <c r="V160" s="28"/>
      <c r="W160" s="28"/>
      <c r="X160" s="28"/>
      <c r="Y160" s="28"/>
      <c r="Z160" s="28"/>
      <c r="AA160" s="28"/>
      <c r="AB160" s="28" t="s">
        <v>24</v>
      </c>
      <c r="AC160" s="28"/>
      <c r="AD160" s="28" t="s">
        <v>25</v>
      </c>
      <c r="AE160" s="116"/>
      <c r="AF160" s="116"/>
      <c r="AG160" s="116"/>
      <c r="AH160" s="28" t="s">
        <v>25</v>
      </c>
      <c r="AI160" s="116"/>
      <c r="AJ160" s="116"/>
      <c r="AK160" s="116"/>
      <c r="AL160" s="116"/>
      <c r="AZ160" s="28" t="s">
        <v>32</v>
      </c>
    </row>
    <row r="161" spans="1:52" ht="16" thickTop="1" x14ac:dyDescent="0.2">
      <c r="A161" s="250"/>
      <c r="B161" s="14" t="s">
        <v>0</v>
      </c>
      <c r="C161" s="2">
        <f t="shared" ref="C161:C172" si="158">VLOOKUP($B161,$B$10:$Q$23,2,FALSE)*(1+$C$157)</f>
        <v>94277793.887259647</v>
      </c>
      <c r="D161" s="2">
        <f t="shared" ref="D161:D172" si="159">VLOOKUP($B161,$B$10:$Q$23,3,FALSE)*(1+$C$157)</f>
        <v>15320480.580372615</v>
      </c>
      <c r="E161" s="2">
        <f t="shared" ref="E161:E172" si="160">AZ136</f>
        <v>76044552.590421632</v>
      </c>
      <c r="F161" s="4">
        <f t="shared" ref="F161:F172" si="161">C161-E161-D161</f>
        <v>2912760.7164654005</v>
      </c>
      <c r="G161" s="1">
        <f>1-H161</f>
        <v>0.96910448795663828</v>
      </c>
      <c r="H161" s="1">
        <f t="shared" ref="H161:H173" si="162">MAX(0,F161/C161)</f>
        <v>3.0895512043361679E-2</v>
      </c>
      <c r="I161" s="29">
        <f>MIN($C$5,($C$4*0.5))*$C$8</f>
        <v>0.03</v>
      </c>
      <c r="J161" s="2">
        <f t="shared" ref="J161:J172" si="163">I161*E161</f>
        <v>2281336.577712649</v>
      </c>
      <c r="K161" s="2"/>
      <c r="L161" s="2"/>
      <c r="M161" s="2"/>
      <c r="N161" s="2"/>
      <c r="O161" s="16">
        <f t="shared" ref="O161:O172" si="164">H161/$H$174</f>
        <v>1.9035018558510555E-2</v>
      </c>
      <c r="P161" s="16">
        <f t="shared" ref="P161:P172" si="165">G161/$G$174</f>
        <v>9.3390451512968264E-2</v>
      </c>
      <c r="Q161" s="2">
        <f>$J$174*IF($J$174&lt;0,P161,O161)*0.5</f>
        <v>1931226.3661778399</v>
      </c>
      <c r="R161" s="2"/>
      <c r="S161" s="16">
        <f t="shared" ref="S161:S172" si="166">MAX(F161,0)/$F$173</f>
        <v>3.5791456122735966E-3</v>
      </c>
      <c r="T161" s="16"/>
      <c r="U161" s="2">
        <f t="shared" ref="U161:U172" si="167">S161*$J$174*0.5</f>
        <v>363127.58790151431</v>
      </c>
      <c r="V161" s="2"/>
      <c r="W161" s="2"/>
      <c r="X161" s="2"/>
      <c r="Y161" s="2"/>
      <c r="Z161" s="2"/>
      <c r="AA161" s="2"/>
      <c r="AB161" s="2">
        <f t="shared" ref="AB161:AB172" si="168">J161+Q161+U161</f>
        <v>4575690.5317920027</v>
      </c>
      <c r="AC161" s="2"/>
      <c r="AD161" s="16">
        <f t="shared" ref="AD161:AD173" si="169">AB161/E161</f>
        <v>6.0171180918596717E-2</v>
      </c>
      <c r="AE161" s="16"/>
      <c r="AF161" s="16"/>
      <c r="AG161" s="16"/>
      <c r="AH161" s="16">
        <f t="shared" ref="AH161:AH173" si="170">AG161/H161</f>
        <v>0</v>
      </c>
      <c r="AI161" s="16"/>
      <c r="AJ161" s="16"/>
      <c r="AK161" s="16"/>
      <c r="AL161" s="16"/>
      <c r="AZ161" s="2">
        <f t="shared" ref="AZ161:AZ172" si="171">AB161+E161</f>
        <v>80620243.122213632</v>
      </c>
    </row>
    <row r="162" spans="1:52" x14ac:dyDescent="0.2">
      <c r="A162" s="250"/>
      <c r="B162" s="14" t="s">
        <v>1</v>
      </c>
      <c r="C162" s="2">
        <f t="shared" si="158"/>
        <v>201009790.24230215</v>
      </c>
      <c r="D162" s="2">
        <f t="shared" si="159"/>
        <v>68028743.188495606</v>
      </c>
      <c r="E162" s="2">
        <f t="shared" si="160"/>
        <v>108472776.48576839</v>
      </c>
      <c r="F162" s="4">
        <f t="shared" si="161"/>
        <v>24508270.568038151</v>
      </c>
      <c r="G162" s="1">
        <f t="shared" ref="G162:G172" si="172">1-H162</f>
        <v>0.87807424435150505</v>
      </c>
      <c r="H162" s="1">
        <f t="shared" si="162"/>
        <v>0.12192575564849492</v>
      </c>
      <c r="I162" s="29">
        <f t="shared" ref="I162:I172" si="173">MIN($C$5,($C$4*0.5))*$C$8</f>
        <v>0.03</v>
      </c>
      <c r="J162" s="2">
        <f t="shared" si="163"/>
        <v>3254183.2945730519</v>
      </c>
      <c r="K162" s="2"/>
      <c r="L162" s="2"/>
      <c r="M162" s="2"/>
      <c r="N162" s="2"/>
      <c r="O162" s="16">
        <f t="shared" si="164"/>
        <v>7.5119616670285674E-2</v>
      </c>
      <c r="P162" s="16">
        <f t="shared" si="165"/>
        <v>8.4618068702582122E-2</v>
      </c>
      <c r="Q162" s="2">
        <f t="shared" ref="Q162:Q172" si="174">$J$174*IF($J$174&lt;0,P162,O162)*0.5</f>
        <v>7621373.4115833556</v>
      </c>
      <c r="R162" s="2"/>
      <c r="S162" s="16">
        <f t="shared" si="166"/>
        <v>3.0115302150343956E-2</v>
      </c>
      <c r="T162" s="16"/>
      <c r="U162" s="2">
        <f t="shared" si="167"/>
        <v>3055393.1617867192</v>
      </c>
      <c r="V162" s="2"/>
      <c r="W162" s="2"/>
      <c r="X162" s="2"/>
      <c r="Y162" s="2"/>
      <c r="Z162" s="2"/>
      <c r="AA162" s="2"/>
      <c r="AB162" s="2">
        <f t="shared" si="168"/>
        <v>13930949.867943127</v>
      </c>
      <c r="AC162" s="2"/>
      <c r="AD162" s="16">
        <f t="shared" si="169"/>
        <v>0.1284280749444158</v>
      </c>
      <c r="AE162" s="16"/>
      <c r="AF162" s="16"/>
      <c r="AG162" s="16"/>
      <c r="AH162" s="16">
        <f t="shared" si="170"/>
        <v>0</v>
      </c>
      <c r="AI162" s="16"/>
      <c r="AJ162" s="16"/>
      <c r="AK162" s="16"/>
      <c r="AL162" s="16"/>
      <c r="AZ162" s="2">
        <f t="shared" si="171"/>
        <v>122403726.35371152</v>
      </c>
    </row>
    <row r="163" spans="1:52" x14ac:dyDescent="0.2">
      <c r="A163" s="250"/>
      <c r="B163" s="14" t="s">
        <v>2</v>
      </c>
      <c r="C163" s="2">
        <f t="shared" si="158"/>
        <v>138694834.15928152</v>
      </c>
      <c r="D163" s="2">
        <f t="shared" si="159"/>
        <v>31673898.785886291</v>
      </c>
      <c r="E163" s="2">
        <f t="shared" si="160"/>
        <v>91787247.896186277</v>
      </c>
      <c r="F163" s="4">
        <f t="shared" si="161"/>
        <v>15233687.477208953</v>
      </c>
      <c r="G163" s="1">
        <f t="shared" si="172"/>
        <v>0.89016398794122276</v>
      </c>
      <c r="H163" s="1">
        <f t="shared" si="162"/>
        <v>0.10983601205877723</v>
      </c>
      <c r="I163" s="29">
        <f t="shared" si="173"/>
        <v>0.03</v>
      </c>
      <c r="J163" s="2">
        <f t="shared" si="163"/>
        <v>2753617.4368855883</v>
      </c>
      <c r="K163" s="2"/>
      <c r="L163" s="2"/>
      <c r="M163" s="2"/>
      <c r="N163" s="2"/>
      <c r="O163" s="16">
        <f t="shared" si="164"/>
        <v>6.7671010760309944E-2</v>
      </c>
      <c r="P163" s="16">
        <f t="shared" si="165"/>
        <v>8.5783130495764387E-2</v>
      </c>
      <c r="Q163" s="2">
        <f t="shared" si="174"/>
        <v>6865663.9238097435</v>
      </c>
      <c r="R163" s="2"/>
      <c r="S163" s="16">
        <f t="shared" si="166"/>
        <v>1.8718868798451582E-2</v>
      </c>
      <c r="T163" s="16"/>
      <c r="U163" s="2">
        <f t="shared" si="167"/>
        <v>1899150.9179501466</v>
      </c>
      <c r="V163" s="2"/>
      <c r="W163" s="2"/>
      <c r="X163" s="2"/>
      <c r="Y163" s="2"/>
      <c r="Z163" s="2"/>
      <c r="AA163" s="2"/>
      <c r="AB163" s="2">
        <f t="shared" si="168"/>
        <v>11518432.278645478</v>
      </c>
      <c r="AC163" s="2"/>
      <c r="AD163" s="16">
        <f t="shared" si="169"/>
        <v>0.12549055062281766</v>
      </c>
      <c r="AE163" s="16"/>
      <c r="AF163" s="16"/>
      <c r="AG163" s="16"/>
      <c r="AH163" s="16">
        <f t="shared" si="170"/>
        <v>0</v>
      </c>
      <c r="AI163" s="16"/>
      <c r="AJ163" s="16"/>
      <c r="AK163" s="16"/>
      <c r="AL163" s="16"/>
      <c r="AZ163" s="2">
        <f t="shared" si="171"/>
        <v>103305680.17483175</v>
      </c>
    </row>
    <row r="164" spans="1:52" x14ac:dyDescent="0.2">
      <c r="A164" s="250"/>
      <c r="B164" s="14" t="s">
        <v>3</v>
      </c>
      <c r="C164" s="2">
        <f t="shared" si="158"/>
        <v>571532521.13909721</v>
      </c>
      <c r="D164" s="2">
        <f t="shared" si="159"/>
        <v>225946628.89154699</v>
      </c>
      <c r="E164" s="2">
        <f t="shared" si="160"/>
        <v>208455309.8427251</v>
      </c>
      <c r="F164" s="4">
        <f t="shared" si="161"/>
        <v>137130582.40482512</v>
      </c>
      <c r="G164" s="1">
        <f t="shared" si="172"/>
        <v>0.76006512782244484</v>
      </c>
      <c r="H164" s="1">
        <f t="shared" si="162"/>
        <v>0.23993487217755513</v>
      </c>
      <c r="I164" s="29">
        <f t="shared" si="173"/>
        <v>0.03</v>
      </c>
      <c r="J164" s="2">
        <f t="shared" si="163"/>
        <v>6253659.2952817529</v>
      </c>
      <c r="K164" s="2"/>
      <c r="L164" s="2"/>
      <c r="M164" s="2"/>
      <c r="N164" s="2"/>
      <c r="O164" s="16">
        <f t="shared" si="164"/>
        <v>0.14782615476071828</v>
      </c>
      <c r="P164" s="16">
        <f t="shared" si="165"/>
        <v>7.3245791706390409E-2</v>
      </c>
      <c r="Q164" s="2">
        <f t="shared" si="174"/>
        <v>14997924.315495048</v>
      </c>
      <c r="R164" s="2"/>
      <c r="S164" s="16">
        <f t="shared" si="166"/>
        <v>0.16850348178217159</v>
      </c>
      <c r="T164" s="16"/>
      <c r="U164" s="2">
        <f t="shared" si="167"/>
        <v>17095773.550743535</v>
      </c>
      <c r="V164" s="2"/>
      <c r="W164" s="2"/>
      <c r="X164" s="2"/>
      <c r="Y164" s="2"/>
      <c r="Z164" s="2"/>
      <c r="AA164" s="2"/>
      <c r="AB164" s="2">
        <f t="shared" si="168"/>
        <v>38347357.161520332</v>
      </c>
      <c r="AC164" s="2"/>
      <c r="AD164" s="16">
        <f t="shared" si="169"/>
        <v>0.18395960837098638</v>
      </c>
      <c r="AE164" s="16"/>
      <c r="AF164" s="16"/>
      <c r="AG164" s="16"/>
      <c r="AH164" s="16">
        <f t="shared" si="170"/>
        <v>0</v>
      </c>
      <c r="AI164" s="16"/>
      <c r="AJ164" s="16"/>
      <c r="AK164" s="16"/>
      <c r="AL164" s="16"/>
      <c r="AZ164" s="2">
        <f t="shared" si="171"/>
        <v>246802667.00424543</v>
      </c>
    </row>
    <row r="165" spans="1:52" x14ac:dyDescent="0.2">
      <c r="A165" s="250"/>
      <c r="B165" s="14" t="s">
        <v>4</v>
      </c>
      <c r="C165" s="2">
        <f t="shared" si="158"/>
        <v>205739189.2269921</v>
      </c>
      <c r="D165" s="2">
        <f t="shared" si="159"/>
        <v>34737485.527381063</v>
      </c>
      <c r="E165" s="2">
        <f t="shared" si="160"/>
        <v>132033662.3222793</v>
      </c>
      <c r="F165" s="4">
        <f t="shared" si="161"/>
        <v>38968041.377331734</v>
      </c>
      <c r="G165" s="1">
        <f t="shared" si="172"/>
        <v>0.81059495021953121</v>
      </c>
      <c r="H165" s="1">
        <f t="shared" si="162"/>
        <v>0.18940504978046882</v>
      </c>
      <c r="I165" s="29">
        <f t="shared" si="173"/>
        <v>0.03</v>
      </c>
      <c r="J165" s="2">
        <f t="shared" si="163"/>
        <v>3961009.869668379</v>
      </c>
      <c r="K165" s="2"/>
      <c r="L165" s="2"/>
      <c r="M165" s="2"/>
      <c r="N165" s="2"/>
      <c r="O165" s="16">
        <f t="shared" si="164"/>
        <v>0.11669425101570677</v>
      </c>
      <c r="P165" s="16">
        <f t="shared" si="165"/>
        <v>7.8115238692941916E-2</v>
      </c>
      <c r="Q165" s="2">
        <f t="shared" si="174"/>
        <v>11839390.313709376</v>
      </c>
      <c r="R165" s="2"/>
      <c r="S165" s="16">
        <f t="shared" si="166"/>
        <v>4.7883196695889516E-2</v>
      </c>
      <c r="T165" s="16"/>
      <c r="U165" s="2">
        <f t="shared" si="167"/>
        <v>4858061.560157327</v>
      </c>
      <c r="V165" s="2"/>
      <c r="W165" s="2"/>
      <c r="X165" s="2"/>
      <c r="Y165" s="2"/>
      <c r="Z165" s="2"/>
      <c r="AA165" s="2"/>
      <c r="AB165" s="2">
        <f t="shared" si="168"/>
        <v>20658461.743535083</v>
      </c>
      <c r="AC165" s="2"/>
      <c r="AD165" s="16">
        <f t="shared" si="169"/>
        <v>0.15646359708715876</v>
      </c>
      <c r="AE165" s="16"/>
      <c r="AF165" s="16"/>
      <c r="AG165" s="16"/>
      <c r="AH165" s="16">
        <f t="shared" si="170"/>
        <v>0</v>
      </c>
      <c r="AI165" s="16"/>
      <c r="AJ165" s="16"/>
      <c r="AK165" s="16"/>
      <c r="AL165" s="16"/>
      <c r="AZ165" s="2">
        <f t="shared" si="171"/>
        <v>152692124.06581438</v>
      </c>
    </row>
    <row r="166" spans="1:52" x14ac:dyDescent="0.2">
      <c r="A166" s="250"/>
      <c r="B166" s="14" t="s">
        <v>5</v>
      </c>
      <c r="C166" s="2">
        <f t="shared" si="158"/>
        <v>487281349.84173852</v>
      </c>
      <c r="D166" s="2">
        <f t="shared" si="159"/>
        <v>155028436.82331643</v>
      </c>
      <c r="E166" s="2">
        <f t="shared" si="160"/>
        <v>219817881.53875247</v>
      </c>
      <c r="F166" s="4">
        <f t="shared" si="161"/>
        <v>112435031.47966963</v>
      </c>
      <c r="G166" s="1">
        <f t="shared" si="172"/>
        <v>0.76926054831323465</v>
      </c>
      <c r="H166" s="1">
        <f t="shared" si="162"/>
        <v>0.23073945168676535</v>
      </c>
      <c r="I166" s="29">
        <f t="shared" si="173"/>
        <v>0.03</v>
      </c>
      <c r="J166" s="2">
        <f t="shared" si="163"/>
        <v>6594536.446162574</v>
      </c>
      <c r="K166" s="2"/>
      <c r="L166" s="2"/>
      <c r="M166" s="2"/>
      <c r="N166" s="2"/>
      <c r="O166" s="16">
        <f t="shared" si="164"/>
        <v>0.1421607688156713</v>
      </c>
      <c r="P166" s="16">
        <f t="shared" si="165"/>
        <v>7.4131933997710481E-2</v>
      </c>
      <c r="Q166" s="2">
        <f t="shared" si="174"/>
        <v>14423134.084636234</v>
      </c>
      <c r="R166" s="2"/>
      <c r="S166" s="16">
        <f t="shared" si="166"/>
        <v>0.13815805304962939</v>
      </c>
      <c r="T166" s="16"/>
      <c r="U166" s="2">
        <f t="shared" si="167"/>
        <v>14017032.551299945</v>
      </c>
      <c r="V166" s="2"/>
      <c r="W166" s="2"/>
      <c r="X166" s="2"/>
      <c r="Y166" s="2"/>
      <c r="Z166" s="2"/>
      <c r="AA166" s="2"/>
      <c r="AB166" s="2">
        <f t="shared" si="168"/>
        <v>35034703.082098752</v>
      </c>
      <c r="AC166" s="2"/>
      <c r="AD166" s="16">
        <f t="shared" si="169"/>
        <v>0.15938058740649977</v>
      </c>
      <c r="AE166" s="16"/>
      <c r="AF166" s="16"/>
      <c r="AG166" s="16"/>
      <c r="AH166" s="16">
        <f t="shared" si="170"/>
        <v>0</v>
      </c>
      <c r="AI166" s="16"/>
      <c r="AJ166" s="16"/>
      <c r="AK166" s="16"/>
      <c r="AL166" s="16"/>
      <c r="AZ166" s="2">
        <f t="shared" si="171"/>
        <v>254852584.62085122</v>
      </c>
    </row>
    <row r="167" spans="1:52" x14ac:dyDescent="0.2">
      <c r="A167" s="250"/>
      <c r="B167" s="14" t="s">
        <v>6</v>
      </c>
      <c r="C167" s="2">
        <f t="shared" si="158"/>
        <v>355345507.24494791</v>
      </c>
      <c r="D167" s="2">
        <f t="shared" si="159"/>
        <v>159091176.44416317</v>
      </c>
      <c r="E167" s="2">
        <f t="shared" si="160"/>
        <v>181128393.38804951</v>
      </c>
      <c r="F167" s="4">
        <f t="shared" si="161"/>
        <v>15125937.412735224</v>
      </c>
      <c r="G167" s="1">
        <f t="shared" si="172"/>
        <v>0.95743315419967145</v>
      </c>
      <c r="H167" s="1">
        <f t="shared" si="162"/>
        <v>4.2566845800328532E-2</v>
      </c>
      <c r="I167" s="29">
        <f t="shared" si="173"/>
        <v>0.03</v>
      </c>
      <c r="J167" s="2">
        <f t="shared" si="163"/>
        <v>5433851.8016414857</v>
      </c>
      <c r="K167" s="2"/>
      <c r="L167" s="2"/>
      <c r="M167" s="2"/>
      <c r="N167" s="2"/>
      <c r="O167" s="16">
        <f t="shared" si="164"/>
        <v>2.6225838194534994E-2</v>
      </c>
      <c r="P167" s="16">
        <f t="shared" si="165"/>
        <v>9.2265710947975185E-2</v>
      </c>
      <c r="Q167" s="2">
        <f t="shared" si="174"/>
        <v>2660781.7607698147</v>
      </c>
      <c r="R167" s="2"/>
      <c r="S167" s="16">
        <f t="shared" si="166"/>
        <v>1.8586467544787558E-2</v>
      </c>
      <c r="T167" s="16"/>
      <c r="U167" s="2">
        <f t="shared" si="167"/>
        <v>1885717.9501174653</v>
      </c>
      <c r="V167" s="2"/>
      <c r="W167" s="2"/>
      <c r="X167" s="2"/>
      <c r="Y167" s="2"/>
      <c r="Z167" s="2"/>
      <c r="AA167" s="2"/>
      <c r="AB167" s="2">
        <f t="shared" si="168"/>
        <v>9980351.5125287659</v>
      </c>
      <c r="AC167" s="2"/>
      <c r="AD167" s="16">
        <f t="shared" si="169"/>
        <v>5.5100977410796434E-2</v>
      </c>
      <c r="AE167" s="16"/>
      <c r="AF167" s="16"/>
      <c r="AG167" s="16"/>
      <c r="AH167" s="16">
        <f t="shared" si="170"/>
        <v>0</v>
      </c>
      <c r="AI167" s="16"/>
      <c r="AJ167" s="16"/>
      <c r="AK167" s="16"/>
      <c r="AL167" s="16"/>
      <c r="AZ167" s="2">
        <f t="shared" si="171"/>
        <v>191108744.90057829</v>
      </c>
    </row>
    <row r="168" spans="1:52" x14ac:dyDescent="0.2">
      <c r="A168" s="250"/>
      <c r="B168" s="14" t="s">
        <v>7</v>
      </c>
      <c r="C168" s="2">
        <f t="shared" si="158"/>
        <v>394438008.17230284</v>
      </c>
      <c r="D168" s="2">
        <f t="shared" si="159"/>
        <v>163621905.83458403</v>
      </c>
      <c r="E168" s="2">
        <f t="shared" si="160"/>
        <v>159089992.34965396</v>
      </c>
      <c r="F168" s="4">
        <f t="shared" si="161"/>
        <v>71726109.988064855</v>
      </c>
      <c r="G168" s="1">
        <f t="shared" si="172"/>
        <v>0.81815619057498978</v>
      </c>
      <c r="H168" s="1">
        <f t="shared" si="162"/>
        <v>0.18184380942501022</v>
      </c>
      <c r="I168" s="29">
        <f t="shared" si="173"/>
        <v>0.03</v>
      </c>
      <c r="J168" s="2">
        <f t="shared" si="163"/>
        <v>4772699.7704896182</v>
      </c>
      <c r="K168" s="2"/>
      <c r="L168" s="2"/>
      <c r="M168" s="2"/>
      <c r="N168" s="2"/>
      <c r="O168" s="16">
        <f t="shared" si="164"/>
        <v>0.11203569898104521</v>
      </c>
      <c r="P168" s="16">
        <f t="shared" si="165"/>
        <v>7.8843898666732012E-2</v>
      </c>
      <c r="Q168" s="2">
        <f t="shared" si="174"/>
        <v>11366749.92778617</v>
      </c>
      <c r="R168" s="2"/>
      <c r="S168" s="16">
        <f t="shared" si="166"/>
        <v>8.8135695595606675E-2</v>
      </c>
      <c r="T168" s="16"/>
      <c r="U168" s="2">
        <f t="shared" si="167"/>
        <v>8941939.2270336859</v>
      </c>
      <c r="V168" s="2"/>
      <c r="W168" s="2"/>
      <c r="X168" s="2"/>
      <c r="Y168" s="2"/>
      <c r="Z168" s="2"/>
      <c r="AA168" s="2"/>
      <c r="AB168" s="2">
        <f t="shared" si="168"/>
        <v>25081388.925309472</v>
      </c>
      <c r="AC168" s="2"/>
      <c r="AD168" s="16">
        <f t="shared" si="169"/>
        <v>0.15765535314241924</v>
      </c>
      <c r="AE168" s="16"/>
      <c r="AF168" s="16"/>
      <c r="AG168" s="16"/>
      <c r="AH168" s="16">
        <f t="shared" si="170"/>
        <v>0</v>
      </c>
      <c r="AI168" s="16"/>
      <c r="AJ168" s="16"/>
      <c r="AK168" s="16"/>
      <c r="AL168" s="16"/>
      <c r="AZ168" s="2">
        <f t="shared" si="171"/>
        <v>184171381.27496344</v>
      </c>
    </row>
    <row r="169" spans="1:52" x14ac:dyDescent="0.2">
      <c r="A169" s="250"/>
      <c r="B169" s="14" t="s">
        <v>8</v>
      </c>
      <c r="C169" s="2">
        <f t="shared" si="158"/>
        <v>1111567872.7327454</v>
      </c>
      <c r="D169" s="2">
        <f t="shared" si="159"/>
        <v>383169302.31530195</v>
      </c>
      <c r="E169" s="2">
        <f t="shared" si="160"/>
        <v>469624757.50567102</v>
      </c>
      <c r="F169" s="4">
        <f t="shared" si="161"/>
        <v>258773812.91177243</v>
      </c>
      <c r="G169" s="1">
        <f t="shared" si="172"/>
        <v>0.76719926937471905</v>
      </c>
      <c r="H169" s="1">
        <f t="shared" si="162"/>
        <v>0.23280073062528095</v>
      </c>
      <c r="I169" s="29">
        <f t="shared" si="173"/>
        <v>0.03</v>
      </c>
      <c r="J169" s="2">
        <f t="shared" si="163"/>
        <v>14088742.72517013</v>
      </c>
      <c r="K169" s="2"/>
      <c r="L169" s="2"/>
      <c r="M169" s="2"/>
      <c r="N169" s="2"/>
      <c r="O169" s="16">
        <f t="shared" si="164"/>
        <v>0.14343074235726022</v>
      </c>
      <c r="P169" s="16">
        <f t="shared" si="165"/>
        <v>7.3933293115169496E-2</v>
      </c>
      <c r="Q169" s="2">
        <f t="shared" si="174"/>
        <v>14551981.155645167</v>
      </c>
      <c r="R169" s="2"/>
      <c r="S169" s="16">
        <f t="shared" si="166"/>
        <v>0.31797639669433542</v>
      </c>
      <c r="T169" s="16"/>
      <c r="U169" s="2">
        <f t="shared" si="167"/>
        <v>32260772.388045169</v>
      </c>
      <c r="V169" s="2"/>
      <c r="W169" s="2"/>
      <c r="X169" s="2"/>
      <c r="Y169" s="2"/>
      <c r="Z169" s="2"/>
      <c r="AA169" s="2"/>
      <c r="AB169" s="2">
        <f t="shared" si="168"/>
        <v>60901496.268860467</v>
      </c>
      <c r="AC169" s="2"/>
      <c r="AD169" s="16">
        <f t="shared" si="169"/>
        <v>0.12968118757692421</v>
      </c>
      <c r="AE169" s="16"/>
      <c r="AF169" s="16"/>
      <c r="AG169" s="16"/>
      <c r="AH169" s="16">
        <f t="shared" si="170"/>
        <v>0</v>
      </c>
      <c r="AI169" s="16"/>
      <c r="AJ169" s="16"/>
      <c r="AK169" s="16"/>
      <c r="AL169" s="16"/>
      <c r="AZ169" s="2">
        <f t="shared" si="171"/>
        <v>530526253.77453148</v>
      </c>
    </row>
    <row r="170" spans="1:52" x14ac:dyDescent="0.2">
      <c r="A170" s="250"/>
      <c r="B170" s="14" t="s">
        <v>9</v>
      </c>
      <c r="C170" s="2">
        <f t="shared" si="158"/>
        <v>111902809.01694736</v>
      </c>
      <c r="D170" s="2">
        <f t="shared" si="159"/>
        <v>48084444.370191425</v>
      </c>
      <c r="E170" s="2">
        <f t="shared" si="160"/>
        <v>59232044.932194449</v>
      </c>
      <c r="F170" s="4">
        <f t="shared" si="161"/>
        <v>4586319.7145614848</v>
      </c>
      <c r="G170" s="1">
        <f t="shared" si="172"/>
        <v>0.95901515114006741</v>
      </c>
      <c r="H170" s="1">
        <f t="shared" si="162"/>
        <v>4.0984848859932546E-2</v>
      </c>
      <c r="I170" s="29">
        <f t="shared" si="173"/>
        <v>0.03</v>
      </c>
      <c r="J170" s="2">
        <f t="shared" si="163"/>
        <v>1776961.3479658335</v>
      </c>
      <c r="K170" s="2"/>
      <c r="L170" s="2"/>
      <c r="M170" s="2"/>
      <c r="N170" s="2"/>
      <c r="O170" s="16">
        <f t="shared" si="164"/>
        <v>2.525115484642668E-2</v>
      </c>
      <c r="P170" s="16">
        <f t="shared" si="165"/>
        <v>9.2418164486671756E-2</v>
      </c>
      <c r="Q170" s="2">
        <f t="shared" si="174"/>
        <v>2561893.7993656648</v>
      </c>
      <c r="R170" s="2"/>
      <c r="S170" s="16">
        <f t="shared" si="166"/>
        <v>5.6355834483981107E-3</v>
      </c>
      <c r="T170" s="16"/>
      <c r="U170" s="2">
        <f t="shared" si="167"/>
        <v>571766.57384848269</v>
      </c>
      <c r="V170" s="2"/>
      <c r="W170" s="2"/>
      <c r="X170" s="2"/>
      <c r="Y170" s="2"/>
      <c r="Z170" s="2"/>
      <c r="AA170" s="2"/>
      <c r="AB170" s="2">
        <f t="shared" si="168"/>
        <v>4910621.7211799808</v>
      </c>
      <c r="AC170" s="2"/>
      <c r="AD170" s="16">
        <f t="shared" si="169"/>
        <v>8.2904814898783041E-2</v>
      </c>
      <c r="AE170" s="16"/>
      <c r="AF170" s="16"/>
      <c r="AG170" s="16"/>
      <c r="AH170" s="16">
        <f t="shared" si="170"/>
        <v>0</v>
      </c>
      <c r="AI170" s="16"/>
      <c r="AJ170" s="16"/>
      <c r="AK170" s="16"/>
      <c r="AL170" s="16"/>
      <c r="AZ170" s="2">
        <f t="shared" si="171"/>
        <v>64142666.653374434</v>
      </c>
    </row>
    <row r="171" spans="1:52" x14ac:dyDescent="0.2">
      <c r="A171" s="250"/>
      <c r="B171" s="14" t="s">
        <v>10</v>
      </c>
      <c r="C171" s="2">
        <f t="shared" si="158"/>
        <v>1490958455.3391585</v>
      </c>
      <c r="D171" s="2">
        <f t="shared" si="159"/>
        <v>963621684.2980268</v>
      </c>
      <c r="E171" s="2">
        <f t="shared" si="160"/>
        <v>426971663.90526658</v>
      </c>
      <c r="F171" s="4">
        <f t="shared" si="161"/>
        <v>100365107.13586521</v>
      </c>
      <c r="G171" s="1">
        <f t="shared" si="172"/>
        <v>0.93268416918227648</v>
      </c>
      <c r="H171" s="1">
        <f t="shared" si="162"/>
        <v>6.7315830817723535E-2</v>
      </c>
      <c r="I171" s="29">
        <f t="shared" si="173"/>
        <v>0.03</v>
      </c>
      <c r="J171" s="2">
        <f t="shared" si="163"/>
        <v>12809149.917157996</v>
      </c>
      <c r="K171" s="2"/>
      <c r="L171" s="2"/>
      <c r="M171" s="2"/>
      <c r="N171" s="2"/>
      <c r="O171" s="16">
        <f t="shared" si="164"/>
        <v>4.1473923044180176E-2</v>
      </c>
      <c r="P171" s="16">
        <f t="shared" si="165"/>
        <v>8.9880706117241568E-2</v>
      </c>
      <c r="Q171" s="2">
        <f t="shared" si="174"/>
        <v>4207799.0859610038</v>
      </c>
      <c r="R171" s="2"/>
      <c r="S171" s="16">
        <f t="shared" si="166"/>
        <v>0.12332675691486671</v>
      </c>
      <c r="T171" s="16"/>
      <c r="U171" s="2">
        <f t="shared" si="167"/>
        <v>12512301.150487147</v>
      </c>
      <c r="V171" s="2"/>
      <c r="W171" s="2"/>
      <c r="X171" s="2"/>
      <c r="Y171" s="2"/>
      <c r="Z171" s="2"/>
      <c r="AA171" s="2"/>
      <c r="AB171" s="2">
        <f t="shared" si="168"/>
        <v>29529250.153606147</v>
      </c>
      <c r="AC171" s="2"/>
      <c r="AD171" s="16">
        <f t="shared" si="169"/>
        <v>6.9159742085736831E-2</v>
      </c>
      <c r="AE171" s="16"/>
      <c r="AF171" s="16"/>
      <c r="AG171" s="16"/>
      <c r="AH171" s="16">
        <f t="shared" si="170"/>
        <v>0</v>
      </c>
      <c r="AI171" s="16"/>
      <c r="AJ171" s="16"/>
      <c r="AK171" s="16"/>
      <c r="AL171" s="16"/>
      <c r="AZ171" s="2">
        <f t="shared" si="171"/>
        <v>456500914.0588727</v>
      </c>
    </row>
    <row r="172" spans="1:52" x14ac:dyDescent="0.2">
      <c r="A172" s="250"/>
      <c r="B172" s="14" t="s">
        <v>11</v>
      </c>
      <c r="C172" s="2">
        <f t="shared" si="158"/>
        <v>237681845.96056035</v>
      </c>
      <c r="D172" s="2">
        <f t="shared" si="159"/>
        <v>83702360.836516574</v>
      </c>
      <c r="E172" s="2">
        <f t="shared" si="160"/>
        <v>121930612.89876179</v>
      </c>
      <c r="F172" s="4">
        <f t="shared" si="161"/>
        <v>32048872.225281984</v>
      </c>
      <c r="G172" s="1">
        <f t="shared" si="172"/>
        <v>0.86516062219324907</v>
      </c>
      <c r="H172" s="1">
        <f t="shared" si="162"/>
        <v>0.13483937780675095</v>
      </c>
      <c r="I172" s="29">
        <f t="shared" si="173"/>
        <v>0.03</v>
      </c>
      <c r="J172" s="2">
        <f t="shared" si="163"/>
        <v>3657918.3869628538</v>
      </c>
      <c r="K172" s="2"/>
      <c r="L172" s="2"/>
      <c r="M172" s="2"/>
      <c r="N172" s="2"/>
      <c r="O172" s="16">
        <f t="shared" si="164"/>
        <v>8.3075821995350435E-2</v>
      </c>
      <c r="P172" s="16">
        <f t="shared" si="165"/>
        <v>8.3373611557852265E-2</v>
      </c>
      <c r="Q172" s="2">
        <f t="shared" si="174"/>
        <v>8428582.1595685165</v>
      </c>
      <c r="R172" s="2"/>
      <c r="S172" s="16">
        <f t="shared" si="166"/>
        <v>3.9381051713245914E-2</v>
      </c>
      <c r="T172" s="16"/>
      <c r="U172" s="2">
        <f t="shared" si="167"/>
        <v>3995463.685136776</v>
      </c>
      <c r="V172" s="2"/>
      <c r="W172" s="2"/>
      <c r="X172" s="2"/>
      <c r="Y172" s="2"/>
      <c r="Z172" s="2"/>
      <c r="AA172" s="2"/>
      <c r="AB172" s="2">
        <f t="shared" si="168"/>
        <v>16081964.231668146</v>
      </c>
      <c r="AC172" s="2"/>
      <c r="AD172" s="16">
        <f t="shared" si="169"/>
        <v>0.13189439345327411</v>
      </c>
      <c r="AE172" s="16"/>
      <c r="AF172" s="16"/>
      <c r="AG172" s="16"/>
      <c r="AH172" s="16">
        <f t="shared" si="170"/>
        <v>0</v>
      </c>
      <c r="AI172" s="16"/>
      <c r="AJ172" s="16"/>
      <c r="AK172" s="16"/>
      <c r="AL172" s="16"/>
      <c r="AZ172" s="2">
        <f t="shared" si="171"/>
        <v>138012577.13042995</v>
      </c>
    </row>
    <row r="173" spans="1:52" x14ac:dyDescent="0.2">
      <c r="A173" s="250"/>
      <c r="B173" s="15" t="s">
        <v>14</v>
      </c>
      <c r="C173" s="30">
        <f>SUM(C161:C172)</f>
        <v>5400429976.9633341</v>
      </c>
      <c r="D173" s="30">
        <f>SUM(D161:D172)</f>
        <v>2332026547.8957825</v>
      </c>
      <c r="E173" s="30">
        <f>SUM(E161:E172)</f>
        <v>2254588895.6557302</v>
      </c>
      <c r="F173" s="30">
        <f>SUM(F161:F172)</f>
        <v>813814533.41182017</v>
      </c>
      <c r="G173" s="1">
        <f>1-H173</f>
        <v>0.84930560401980648</v>
      </c>
      <c r="H173" s="11">
        <f t="shared" si="162"/>
        <v>0.15069439598019355</v>
      </c>
      <c r="J173" s="30">
        <f>SUM(J161:J172)</f>
        <v>67637666.869671926</v>
      </c>
      <c r="K173" s="30"/>
      <c r="L173" s="30"/>
      <c r="M173" s="30"/>
      <c r="N173" s="30"/>
      <c r="O173" s="16"/>
      <c r="P173" s="16"/>
      <c r="Q173" s="30">
        <f>SUM(Q161:Q172)</f>
        <v>101456500.30450793</v>
      </c>
      <c r="R173" s="30"/>
      <c r="S173" s="30"/>
      <c r="T173" s="30"/>
      <c r="U173" s="30">
        <f>SUM(U161:U172)</f>
        <v>101456500.30450793</v>
      </c>
      <c r="V173" s="30"/>
      <c r="W173" s="30"/>
      <c r="X173" s="30"/>
      <c r="Y173" s="30"/>
      <c r="Z173" s="30"/>
      <c r="AA173" s="30"/>
      <c r="AB173" s="30">
        <f>SUM(AB161:AB172)</f>
        <v>270550667.47868776</v>
      </c>
      <c r="AC173" s="30"/>
      <c r="AD173" s="16">
        <f t="shared" si="169"/>
        <v>0.12000000000000006</v>
      </c>
      <c r="AE173" s="16"/>
      <c r="AF173" s="16"/>
      <c r="AG173" s="16"/>
      <c r="AH173" s="16">
        <f t="shared" si="170"/>
        <v>0</v>
      </c>
      <c r="AI173" s="16"/>
      <c r="AJ173" s="16"/>
      <c r="AK173" s="16"/>
      <c r="AL173" s="16"/>
      <c r="AZ173" s="3">
        <f>SUM(AZ161:AZ172)</f>
        <v>2525139563.134418</v>
      </c>
    </row>
    <row r="174" spans="1:52" x14ac:dyDescent="0.2">
      <c r="C174" s="30"/>
      <c r="D174" s="30"/>
      <c r="E174" s="30"/>
      <c r="F174" s="30"/>
      <c r="G174" s="21">
        <f>SUM(G161:G172)</f>
        <v>10.376911903269551</v>
      </c>
      <c r="H174" s="21">
        <f>SUM(H161:H172)</f>
        <v>1.6230880967304495</v>
      </c>
      <c r="I174" s="10" t="s">
        <v>30</v>
      </c>
      <c r="J174" s="17">
        <f>C156-SUM(J161:J172)</f>
        <v>202913000.60901582</v>
      </c>
      <c r="K174" s="17"/>
      <c r="L174" s="17"/>
      <c r="M174" s="17"/>
      <c r="N174" s="17"/>
    </row>
    <row r="177" spans="1:52" x14ac:dyDescent="0.2">
      <c r="A177" s="250">
        <v>7</v>
      </c>
      <c r="B177" t="s">
        <v>34</v>
      </c>
      <c r="C177" s="4">
        <f>AZ173</f>
        <v>2525139563.134418</v>
      </c>
      <c r="D177" s="4"/>
    </row>
    <row r="178" spans="1:52" x14ac:dyDescent="0.2">
      <c r="A178" s="250"/>
      <c r="B178" t="s">
        <v>27</v>
      </c>
      <c r="C178" s="6">
        <f>C177*(1+C179)</f>
        <v>2828156310.7105484</v>
      </c>
      <c r="D178" s="6"/>
    </row>
    <row r="179" spans="1:52" x14ac:dyDescent="0.2">
      <c r="A179" s="250"/>
      <c r="B179" t="s">
        <v>28</v>
      </c>
      <c r="C179" s="20">
        <f>C4</f>
        <v>0.12</v>
      </c>
      <c r="D179" s="20"/>
    </row>
    <row r="180" spans="1:52" x14ac:dyDescent="0.2">
      <c r="A180" s="250"/>
      <c r="B180" t="s">
        <v>16</v>
      </c>
      <c r="C180" s="20">
        <f>C5</f>
        <v>0.03</v>
      </c>
      <c r="D180" s="20"/>
    </row>
    <row r="181" spans="1:52" x14ac:dyDescent="0.2">
      <c r="A181" s="250"/>
      <c r="B181" t="s">
        <v>31</v>
      </c>
      <c r="C181" s="6">
        <f>C178-C177</f>
        <v>303016747.57613039</v>
      </c>
      <c r="D181" s="6"/>
    </row>
    <row r="182" spans="1:52" x14ac:dyDescent="0.2">
      <c r="A182" s="250"/>
      <c r="B182" t="s">
        <v>48</v>
      </c>
      <c r="C182" s="20">
        <f>((1+$C$5)^A177)-1</f>
        <v>0.22987386542486998</v>
      </c>
      <c r="D182" s="20"/>
    </row>
    <row r="183" spans="1:52" ht="21" x14ac:dyDescent="0.25">
      <c r="A183" s="250"/>
      <c r="F183" s="6"/>
      <c r="G183" s="6"/>
      <c r="I183" s="251" t="s">
        <v>18</v>
      </c>
      <c r="J183" s="251"/>
      <c r="K183" s="251"/>
      <c r="L183" s="251"/>
      <c r="M183" s="251"/>
      <c r="N183" s="251"/>
      <c r="O183" s="251"/>
      <c r="P183" s="251"/>
      <c r="Q183" s="251"/>
      <c r="R183" s="251"/>
      <c r="S183" s="251"/>
      <c r="T183" s="251"/>
      <c r="U183" s="251"/>
      <c r="V183" s="251"/>
      <c r="W183" s="251"/>
      <c r="X183" s="251"/>
      <c r="Y183" s="251"/>
      <c r="Z183" s="251"/>
      <c r="AA183" s="251"/>
      <c r="AB183" s="251"/>
      <c r="AC183" s="251"/>
      <c r="AD183" s="251"/>
      <c r="AE183" s="107"/>
      <c r="AF183" s="107"/>
      <c r="AG183" s="107"/>
      <c r="AH183" s="107"/>
      <c r="AI183" s="107"/>
      <c r="AJ183" s="107"/>
      <c r="AK183" s="107"/>
      <c r="AL183" s="107"/>
    </row>
    <row r="184" spans="1:52" x14ac:dyDescent="0.2">
      <c r="A184" s="250" t="s">
        <v>51</v>
      </c>
      <c r="I184" s="255" t="s">
        <v>19</v>
      </c>
      <c r="J184" s="255"/>
      <c r="K184" s="255"/>
      <c r="L184" s="255"/>
      <c r="M184" s="255"/>
      <c r="N184" s="255"/>
      <c r="O184" s="255"/>
      <c r="P184" s="255"/>
      <c r="Q184" s="255"/>
      <c r="R184" s="255"/>
      <c r="S184" s="255"/>
      <c r="T184" s="255"/>
      <c r="U184" s="255"/>
      <c r="V184" s="255"/>
      <c r="W184" s="255"/>
      <c r="X184" s="255"/>
      <c r="Y184" s="255"/>
      <c r="Z184" s="255"/>
      <c r="AA184" s="255"/>
      <c r="AB184" s="255"/>
      <c r="AC184" s="255"/>
      <c r="AD184" s="255"/>
      <c r="AE184" s="115"/>
      <c r="AF184" s="115"/>
      <c r="AG184" s="115"/>
      <c r="AH184" s="115"/>
      <c r="AI184" s="115"/>
      <c r="AJ184" s="115"/>
      <c r="AK184" s="115"/>
      <c r="AL184" s="115"/>
    </row>
    <row r="185" spans="1:52" ht="49" thickBot="1" x14ac:dyDescent="0.25">
      <c r="A185" s="250"/>
      <c r="B185" s="22" t="s">
        <v>12</v>
      </c>
      <c r="C185" s="13" t="s">
        <v>15</v>
      </c>
      <c r="D185" s="13" t="s">
        <v>63</v>
      </c>
      <c r="E185" s="13" t="s">
        <v>29</v>
      </c>
      <c r="F185" s="13" t="s">
        <v>13</v>
      </c>
      <c r="G185" s="13" t="s">
        <v>50</v>
      </c>
      <c r="H185" s="13" t="s">
        <v>17</v>
      </c>
      <c r="I185" s="28" t="s">
        <v>20</v>
      </c>
      <c r="J185" s="28" t="s">
        <v>21</v>
      </c>
      <c r="K185" s="28"/>
      <c r="L185" s="28"/>
      <c r="M185" s="28"/>
      <c r="N185" s="28"/>
      <c r="O185" s="28" t="s">
        <v>22</v>
      </c>
      <c r="P185" s="28" t="s">
        <v>49</v>
      </c>
      <c r="Q185" s="28" t="s">
        <v>23</v>
      </c>
      <c r="R185" s="28"/>
      <c r="S185" s="28" t="s">
        <v>71</v>
      </c>
      <c r="T185" s="28"/>
      <c r="U185" s="28" t="s">
        <v>72</v>
      </c>
      <c r="V185" s="28"/>
      <c r="W185" s="28"/>
      <c r="X185" s="28"/>
      <c r="Y185" s="28"/>
      <c r="Z185" s="28"/>
      <c r="AA185" s="28"/>
      <c r="AB185" s="28" t="s">
        <v>24</v>
      </c>
      <c r="AC185" s="28"/>
      <c r="AD185" s="28" t="s">
        <v>25</v>
      </c>
      <c r="AE185" s="116"/>
      <c r="AF185" s="116"/>
      <c r="AG185" s="116"/>
      <c r="AH185" s="28" t="s">
        <v>25</v>
      </c>
      <c r="AI185" s="116"/>
      <c r="AJ185" s="116"/>
      <c r="AK185" s="116"/>
      <c r="AL185" s="116"/>
      <c r="AZ185" s="28" t="s">
        <v>32</v>
      </c>
    </row>
    <row r="186" spans="1:52" ht="16" thickTop="1" x14ac:dyDescent="0.2">
      <c r="A186" s="250"/>
      <c r="B186" s="14" t="s">
        <v>0</v>
      </c>
      <c r="C186" s="2">
        <f t="shared" ref="C186:C197" si="175">VLOOKUP($B186,$B$10:$Q$23,2,FALSE)*(1+$C$182)</f>
        <v>97106127.703877449</v>
      </c>
      <c r="D186" s="2">
        <f t="shared" ref="D186:D197" si="176">VLOOKUP($B186,$B$10:$Q$23,3,FALSE)*(1+$C$182)</f>
        <v>15780094.997783793</v>
      </c>
      <c r="E186" s="2">
        <f t="shared" ref="E186:E197" si="177">AZ161</f>
        <v>80620243.122213632</v>
      </c>
      <c r="F186" s="4">
        <f t="shared" ref="F186:F197" si="178">C186-E186-D186</f>
        <v>705789.58388002403</v>
      </c>
      <c r="G186" s="1">
        <f>1-H186</f>
        <v>0.99273177089264319</v>
      </c>
      <c r="H186" s="1">
        <f t="shared" ref="H186:H198" si="179">MAX(0,F186/C186)</f>
        <v>7.268229107356753E-3</v>
      </c>
      <c r="I186" s="29">
        <f>MIN($C$5,($C$4*0.5))*$C$8</f>
        <v>0.03</v>
      </c>
      <c r="J186" s="2">
        <f t="shared" ref="J186:J197" si="180">I186*E186</f>
        <v>2418607.2936664089</v>
      </c>
      <c r="K186" s="2"/>
      <c r="L186" s="2"/>
      <c r="M186" s="2"/>
      <c r="N186" s="2"/>
      <c r="O186" s="16">
        <f t="shared" ref="O186:O197" si="181">H186/$H$199</f>
        <v>6.5809305390551846E-3</v>
      </c>
      <c r="P186" s="16">
        <f t="shared" ref="P186:P197" si="182">G186/$G$199</f>
        <v>9.1113405790308966E-2</v>
      </c>
      <c r="Q186" s="2">
        <f>$J$199*IF($J$199&lt;0,P186,O186)*0.5</f>
        <v>747799.56298834994</v>
      </c>
      <c r="R186" s="2"/>
      <c r="S186" s="16">
        <f t="shared" ref="S186:S197" si="183">MAX(F186,0)/$F$198</f>
        <v>1.1109268750278778E-3</v>
      </c>
      <c r="T186" s="16"/>
      <c r="U186" s="2">
        <f t="shared" ref="U186:U197" si="184">S186*$J$199*0.5</f>
        <v>126236.04317469821</v>
      </c>
      <c r="V186" s="2"/>
      <c r="W186" s="2"/>
      <c r="X186" s="2"/>
      <c r="Y186" s="2"/>
      <c r="Z186" s="2"/>
      <c r="AA186" s="2"/>
      <c r="AB186" s="2">
        <f t="shared" ref="AB186:AB197" si="185">J186+Q186+U186</f>
        <v>3292642.8998294566</v>
      </c>
      <c r="AC186" s="2"/>
      <c r="AD186" s="16">
        <f t="shared" ref="AD186:AD198" si="186">AB186/E186</f>
        <v>4.0841391346812014E-2</v>
      </c>
      <c r="AE186" s="16"/>
      <c r="AF186" s="16"/>
      <c r="AG186" s="16"/>
      <c r="AH186" s="16">
        <f t="shared" ref="AH186:AH198" si="187">AG186/H186</f>
        <v>0</v>
      </c>
      <c r="AI186" s="16"/>
      <c r="AJ186" s="16"/>
      <c r="AK186" s="16"/>
      <c r="AL186" s="16"/>
      <c r="AZ186" s="2">
        <f t="shared" ref="AZ186:AZ197" si="188">AB186+E186</f>
        <v>83912886.022043094</v>
      </c>
    </row>
    <row r="187" spans="1:52" x14ac:dyDescent="0.2">
      <c r="A187" s="250"/>
      <c r="B187" s="14" t="s">
        <v>1</v>
      </c>
      <c r="C187" s="2">
        <f t="shared" si="175"/>
        <v>207040083.94957122</v>
      </c>
      <c r="D187" s="2">
        <f t="shared" si="176"/>
        <v>70069605.484150484</v>
      </c>
      <c r="E187" s="2">
        <f t="shared" si="177"/>
        <v>122403726.35371152</v>
      </c>
      <c r="F187" s="4">
        <f t="shared" si="178"/>
        <v>14566752.111709222</v>
      </c>
      <c r="G187" s="1">
        <f t="shared" ref="G187:G197" si="189">1-H187</f>
        <v>0.92964284097152294</v>
      </c>
      <c r="H187" s="1">
        <f t="shared" si="179"/>
        <v>7.0357159028477056E-2</v>
      </c>
      <c r="I187" s="29">
        <f t="shared" ref="I187:I197" si="190">MIN($C$5,($C$4*0.5))*$C$8</f>
        <v>0.03</v>
      </c>
      <c r="J187" s="2">
        <f t="shared" si="180"/>
        <v>3672111.7906113453</v>
      </c>
      <c r="K187" s="2"/>
      <c r="L187" s="2"/>
      <c r="M187" s="2"/>
      <c r="N187" s="2"/>
      <c r="O187" s="16">
        <f t="shared" si="181"/>
        <v>6.3704042573866027E-2</v>
      </c>
      <c r="P187" s="16">
        <f t="shared" si="182"/>
        <v>8.532307305258395E-2</v>
      </c>
      <c r="Q187" s="2">
        <f t="shared" ref="Q187:Q197" si="191">$J$199*IF($J$199&lt;0,P187,O187)*0.5</f>
        <v>7238771.9205690864</v>
      </c>
      <c r="R187" s="2"/>
      <c r="S187" s="16">
        <f t="shared" si="183"/>
        <v>2.2928358213795512E-2</v>
      </c>
      <c r="T187" s="16"/>
      <c r="U187" s="2">
        <f t="shared" si="184"/>
        <v>2605378.6999517898</v>
      </c>
      <c r="V187" s="2"/>
      <c r="W187" s="2"/>
      <c r="X187" s="2"/>
      <c r="Y187" s="2"/>
      <c r="Z187" s="2"/>
      <c r="AA187" s="2"/>
      <c r="AB187" s="2">
        <f t="shared" si="185"/>
        <v>13516262.411132222</v>
      </c>
      <c r="AC187" s="2"/>
      <c r="AD187" s="16">
        <f t="shared" si="186"/>
        <v>0.11042361873913967</v>
      </c>
      <c r="AE187" s="16"/>
      <c r="AF187" s="16"/>
      <c r="AG187" s="16"/>
      <c r="AH187" s="16">
        <f t="shared" si="187"/>
        <v>0</v>
      </c>
      <c r="AI187" s="16"/>
      <c r="AJ187" s="16"/>
      <c r="AK187" s="16"/>
      <c r="AL187" s="16"/>
      <c r="AZ187" s="2">
        <f t="shared" si="188"/>
        <v>135919988.76484373</v>
      </c>
    </row>
    <row r="188" spans="1:52" x14ac:dyDescent="0.2">
      <c r="A188" s="250"/>
      <c r="B188" s="14" t="s">
        <v>2</v>
      </c>
      <c r="C188" s="2">
        <f t="shared" si="175"/>
        <v>142855679.18405995</v>
      </c>
      <c r="D188" s="2">
        <f t="shared" si="176"/>
        <v>32624115.749462884</v>
      </c>
      <c r="E188" s="2">
        <f t="shared" si="177"/>
        <v>103305680.17483175</v>
      </c>
      <c r="F188" s="4">
        <f t="shared" si="178"/>
        <v>6925883.2597653158</v>
      </c>
      <c r="G188" s="1">
        <f t="shared" si="189"/>
        <v>0.9515183204523372</v>
      </c>
      <c r="H188" s="1">
        <f t="shared" si="179"/>
        <v>4.848167954766279E-2</v>
      </c>
      <c r="I188" s="29">
        <f t="shared" si="190"/>
        <v>0.03</v>
      </c>
      <c r="J188" s="2">
        <f t="shared" si="180"/>
        <v>3099170.4052449525</v>
      </c>
      <c r="K188" s="2"/>
      <c r="L188" s="2"/>
      <c r="M188" s="2"/>
      <c r="N188" s="2"/>
      <c r="O188" s="16">
        <f t="shared" si="181"/>
        <v>4.389715304887138E-2</v>
      </c>
      <c r="P188" s="16">
        <f t="shared" si="182"/>
        <v>8.7330815221448768E-2</v>
      </c>
      <c r="Q188" s="2">
        <f t="shared" si="191"/>
        <v>4988089.7042702343</v>
      </c>
      <c r="R188" s="2"/>
      <c r="S188" s="16">
        <f t="shared" si="183"/>
        <v>1.0901478319191076E-2</v>
      </c>
      <c r="T188" s="16"/>
      <c r="U188" s="2">
        <f t="shared" si="184"/>
        <v>1238748.9390198679</v>
      </c>
      <c r="V188" s="2"/>
      <c r="W188" s="2"/>
      <c r="X188" s="2"/>
      <c r="Y188" s="2"/>
      <c r="Z188" s="2"/>
      <c r="AA188" s="2"/>
      <c r="AB188" s="2">
        <f t="shared" si="185"/>
        <v>9326009.0485350545</v>
      </c>
      <c r="AC188" s="2"/>
      <c r="AD188" s="16">
        <f t="shared" si="186"/>
        <v>9.0275859301753483E-2</v>
      </c>
      <c r="AE188" s="16"/>
      <c r="AF188" s="16"/>
      <c r="AG188" s="16"/>
      <c r="AH188" s="16">
        <f t="shared" si="187"/>
        <v>0</v>
      </c>
      <c r="AI188" s="16"/>
      <c r="AJ188" s="16"/>
      <c r="AK188" s="16"/>
      <c r="AL188" s="16"/>
      <c r="AZ188" s="2">
        <f t="shared" si="188"/>
        <v>112631689.2233668</v>
      </c>
    </row>
    <row r="189" spans="1:52" x14ac:dyDescent="0.2">
      <c r="A189" s="250"/>
      <c r="B189" s="14" t="s">
        <v>3</v>
      </c>
      <c r="C189" s="2">
        <f t="shared" si="175"/>
        <v>588678496.77327013</v>
      </c>
      <c r="D189" s="2">
        <f t="shared" si="176"/>
        <v>232725027.75829342</v>
      </c>
      <c r="E189" s="2">
        <f t="shared" si="177"/>
        <v>246802667.00424543</v>
      </c>
      <c r="F189" s="4">
        <f t="shared" si="178"/>
        <v>109150802.01073131</v>
      </c>
      <c r="G189" s="1">
        <f t="shared" si="189"/>
        <v>0.81458333774883784</v>
      </c>
      <c r="H189" s="1">
        <f t="shared" si="179"/>
        <v>0.18541666225116221</v>
      </c>
      <c r="I189" s="29">
        <f t="shared" si="190"/>
        <v>0.03</v>
      </c>
      <c r="J189" s="2">
        <f t="shared" si="180"/>
        <v>7404080.0101273628</v>
      </c>
      <c r="K189" s="2"/>
      <c r="L189" s="2"/>
      <c r="M189" s="2"/>
      <c r="N189" s="2"/>
      <c r="O189" s="16">
        <f t="shared" si="181"/>
        <v>0.16788328450231133</v>
      </c>
      <c r="P189" s="16">
        <f t="shared" si="182"/>
        <v>7.4762855766767305E-2</v>
      </c>
      <c r="Q189" s="2">
        <f t="shared" si="191"/>
        <v>19076792.565858211</v>
      </c>
      <c r="R189" s="2"/>
      <c r="S189" s="16">
        <f t="shared" si="183"/>
        <v>0.17180553829933096</v>
      </c>
      <c r="T189" s="16"/>
      <c r="U189" s="2">
        <f t="shared" si="184"/>
        <v>19522483.286636095</v>
      </c>
      <c r="V189" s="2"/>
      <c r="W189" s="2"/>
      <c r="X189" s="2"/>
      <c r="Y189" s="2"/>
      <c r="Z189" s="2"/>
      <c r="AA189" s="2"/>
      <c r="AB189" s="2">
        <f t="shared" si="185"/>
        <v>46003355.862621665</v>
      </c>
      <c r="AC189" s="2"/>
      <c r="AD189" s="16">
        <f t="shared" si="186"/>
        <v>0.18639732066521927</v>
      </c>
      <c r="AE189" s="16"/>
      <c r="AF189" s="16"/>
      <c r="AG189" s="16"/>
      <c r="AH189" s="16">
        <f t="shared" si="187"/>
        <v>0</v>
      </c>
      <c r="AI189" s="16"/>
      <c r="AJ189" s="16"/>
      <c r="AK189" s="16"/>
      <c r="AL189" s="16"/>
      <c r="AZ189" s="2">
        <f t="shared" si="188"/>
        <v>292806022.86686707</v>
      </c>
    </row>
    <row r="190" spans="1:52" x14ac:dyDescent="0.2">
      <c r="A190" s="250"/>
      <c r="B190" s="14" t="s">
        <v>4</v>
      </c>
      <c r="C190" s="2">
        <f t="shared" si="175"/>
        <v>211911364.90380186</v>
      </c>
      <c r="D190" s="2">
        <f t="shared" si="176"/>
        <v>35779610.093202502</v>
      </c>
      <c r="E190" s="2">
        <f t="shared" si="177"/>
        <v>152692124.06581438</v>
      </c>
      <c r="F190" s="4">
        <f t="shared" si="178"/>
        <v>23439630.744784981</v>
      </c>
      <c r="G190" s="1">
        <f t="shared" si="189"/>
        <v>0.88938945886443843</v>
      </c>
      <c r="H190" s="1">
        <f t="shared" si="179"/>
        <v>0.11061054113556161</v>
      </c>
      <c r="I190" s="29">
        <f t="shared" si="190"/>
        <v>0.03</v>
      </c>
      <c r="J190" s="2">
        <f t="shared" si="180"/>
        <v>4580763.7219744315</v>
      </c>
      <c r="K190" s="2"/>
      <c r="L190" s="2"/>
      <c r="M190" s="2"/>
      <c r="N190" s="2"/>
      <c r="O190" s="16">
        <f t="shared" si="181"/>
        <v>0.10015098277015665</v>
      </c>
      <c r="P190" s="16">
        <f t="shared" si="182"/>
        <v>8.162859802328444E-2</v>
      </c>
      <c r="Q190" s="2">
        <f t="shared" si="191"/>
        <v>11380284.399587231</v>
      </c>
      <c r="R190" s="2"/>
      <c r="S190" s="16">
        <f t="shared" si="183"/>
        <v>3.6894446064165483E-2</v>
      </c>
      <c r="T190" s="16"/>
      <c r="U190" s="2">
        <f t="shared" si="184"/>
        <v>4192363.1437448971</v>
      </c>
      <c r="V190" s="2"/>
      <c r="W190" s="2"/>
      <c r="X190" s="2"/>
      <c r="Y190" s="2"/>
      <c r="Z190" s="2"/>
      <c r="AA190" s="2"/>
      <c r="AB190" s="2">
        <f t="shared" si="185"/>
        <v>20153411.265306558</v>
      </c>
      <c r="AC190" s="2"/>
      <c r="AD190" s="16">
        <f t="shared" si="186"/>
        <v>0.13198723502346396</v>
      </c>
      <c r="AE190" s="16"/>
      <c r="AF190" s="16"/>
      <c r="AG190" s="16"/>
      <c r="AH190" s="16">
        <f t="shared" si="187"/>
        <v>0</v>
      </c>
      <c r="AI190" s="16"/>
      <c r="AJ190" s="16"/>
      <c r="AK190" s="16"/>
      <c r="AL190" s="16"/>
      <c r="AZ190" s="2">
        <f t="shared" si="188"/>
        <v>172845535.33112094</v>
      </c>
    </row>
    <row r="191" spans="1:52" x14ac:dyDescent="0.2">
      <c r="A191" s="250"/>
      <c r="B191" s="14" t="s">
        <v>5</v>
      </c>
      <c r="C191" s="2">
        <f t="shared" si="175"/>
        <v>501899790.33699071</v>
      </c>
      <c r="D191" s="2">
        <f t="shared" si="176"/>
        <v>159679289.92801592</v>
      </c>
      <c r="E191" s="2">
        <f t="shared" si="177"/>
        <v>254852584.62085122</v>
      </c>
      <c r="F191" s="4">
        <f t="shared" si="178"/>
        <v>87367915.788123578</v>
      </c>
      <c r="G191" s="1">
        <f t="shared" si="189"/>
        <v>0.82592557823253498</v>
      </c>
      <c r="H191" s="1">
        <f t="shared" si="179"/>
        <v>0.17407442176746502</v>
      </c>
      <c r="I191" s="29">
        <f t="shared" si="190"/>
        <v>0.03</v>
      </c>
      <c r="J191" s="2">
        <f t="shared" si="180"/>
        <v>7645577.5386255365</v>
      </c>
      <c r="K191" s="2"/>
      <c r="L191" s="2"/>
      <c r="M191" s="2"/>
      <c r="N191" s="2"/>
      <c r="O191" s="16">
        <f t="shared" si="181"/>
        <v>0.15761358941180856</v>
      </c>
      <c r="P191" s="16">
        <f t="shared" si="182"/>
        <v>7.580385212657266E-2</v>
      </c>
      <c r="Q191" s="2">
        <f t="shared" si="191"/>
        <v>17909833.964012198</v>
      </c>
      <c r="R191" s="2"/>
      <c r="S191" s="16">
        <f t="shared" si="183"/>
        <v>0.13751884114047488</v>
      </c>
      <c r="T191" s="16"/>
      <c r="U191" s="2">
        <f t="shared" si="184"/>
        <v>15626441.989809474</v>
      </c>
      <c r="V191" s="2"/>
      <c r="W191" s="2"/>
      <c r="X191" s="2"/>
      <c r="Y191" s="2"/>
      <c r="Z191" s="2"/>
      <c r="AA191" s="2"/>
      <c r="AB191" s="2">
        <f t="shared" si="185"/>
        <v>41181853.492447212</v>
      </c>
      <c r="AC191" s="2"/>
      <c r="AD191" s="16">
        <f t="shared" si="186"/>
        <v>0.16159088028757565</v>
      </c>
      <c r="AE191" s="16"/>
      <c r="AF191" s="16"/>
      <c r="AG191" s="16"/>
      <c r="AH191" s="16">
        <f t="shared" si="187"/>
        <v>0</v>
      </c>
      <c r="AI191" s="16"/>
      <c r="AJ191" s="16"/>
      <c r="AK191" s="16"/>
      <c r="AL191" s="16"/>
      <c r="AZ191" s="2">
        <f t="shared" si="188"/>
        <v>296034438.11329842</v>
      </c>
    </row>
    <row r="192" spans="1:52" x14ac:dyDescent="0.2">
      <c r="A192" s="250"/>
      <c r="B192" s="14" t="s">
        <v>6</v>
      </c>
      <c r="C192" s="2">
        <f t="shared" si="175"/>
        <v>366005872.46229637</v>
      </c>
      <c r="D192" s="2">
        <f t="shared" si="176"/>
        <v>163863911.73748809</v>
      </c>
      <c r="E192" s="2">
        <f t="shared" si="177"/>
        <v>191108744.90057829</v>
      </c>
      <c r="F192" s="4">
        <f t="shared" si="178"/>
        <v>11033215.824229985</v>
      </c>
      <c r="G192" s="1">
        <f t="shared" si="189"/>
        <v>0.96985508524766484</v>
      </c>
      <c r="H192" s="1">
        <f t="shared" si="179"/>
        <v>3.0144914752335179E-2</v>
      </c>
      <c r="I192" s="29">
        <f t="shared" si="190"/>
        <v>0.03</v>
      </c>
      <c r="J192" s="2">
        <f t="shared" si="180"/>
        <v>5733262.3470173487</v>
      </c>
      <c r="K192" s="2"/>
      <c r="L192" s="2"/>
      <c r="M192" s="2"/>
      <c r="N192" s="2"/>
      <c r="O192" s="16">
        <f t="shared" si="181"/>
        <v>2.7294350131321529E-2</v>
      </c>
      <c r="P192" s="16">
        <f t="shared" si="182"/>
        <v>8.9013772431708965E-2</v>
      </c>
      <c r="Q192" s="2">
        <f t="shared" si="191"/>
        <v>3101491.951498942</v>
      </c>
      <c r="R192" s="2"/>
      <c r="S192" s="16">
        <f t="shared" si="183"/>
        <v>1.7366501655829921E-2</v>
      </c>
      <c r="T192" s="16"/>
      <c r="U192" s="2">
        <f t="shared" si="184"/>
        <v>1973377.8181969002</v>
      </c>
      <c r="V192" s="2"/>
      <c r="W192" s="2"/>
      <c r="X192" s="2"/>
      <c r="Y192" s="2"/>
      <c r="Z192" s="2"/>
      <c r="AA192" s="2"/>
      <c r="AB192" s="2">
        <f t="shared" si="185"/>
        <v>10808132.11671319</v>
      </c>
      <c r="AC192" s="2"/>
      <c r="AD192" s="16">
        <f t="shared" si="186"/>
        <v>5.6554879905343802E-2</v>
      </c>
      <c r="AE192" s="16"/>
      <c r="AF192" s="16"/>
      <c r="AG192" s="16"/>
      <c r="AH192" s="16">
        <f t="shared" si="187"/>
        <v>0</v>
      </c>
      <c r="AI192" s="16"/>
      <c r="AJ192" s="16"/>
      <c r="AK192" s="16"/>
      <c r="AL192" s="16"/>
      <c r="AZ192" s="2">
        <f t="shared" si="188"/>
        <v>201916877.01729149</v>
      </c>
    </row>
    <row r="193" spans="1:52" x14ac:dyDescent="0.2">
      <c r="A193" s="250"/>
      <c r="B193" s="14" t="s">
        <v>7</v>
      </c>
      <c r="C193" s="2">
        <f t="shared" si="175"/>
        <v>406271148.41747195</v>
      </c>
      <c r="D193" s="2">
        <f t="shared" si="176"/>
        <v>168530563.00962153</v>
      </c>
      <c r="E193" s="2">
        <f t="shared" si="177"/>
        <v>184171381.27496344</v>
      </c>
      <c r="F193" s="4">
        <f t="shared" si="178"/>
        <v>53569204.132886976</v>
      </c>
      <c r="G193" s="1">
        <f t="shared" si="189"/>
        <v>0.86814420777465373</v>
      </c>
      <c r="H193" s="1">
        <f t="shared" si="179"/>
        <v>0.13185579222534621</v>
      </c>
      <c r="I193" s="29">
        <f t="shared" si="190"/>
        <v>0.03</v>
      </c>
      <c r="J193" s="2">
        <f t="shared" si="180"/>
        <v>5525141.4382489026</v>
      </c>
      <c r="K193" s="2"/>
      <c r="L193" s="2"/>
      <c r="M193" s="2"/>
      <c r="N193" s="2"/>
      <c r="O193" s="16">
        <f t="shared" si="181"/>
        <v>0.11938723958615913</v>
      </c>
      <c r="P193" s="16">
        <f t="shared" si="182"/>
        <v>7.9678698523321836E-2</v>
      </c>
      <c r="Q193" s="2">
        <f t="shared" si="191"/>
        <v>13566124.890558822</v>
      </c>
      <c r="R193" s="2"/>
      <c r="S193" s="16">
        <f t="shared" si="183"/>
        <v>8.4318995213727682E-2</v>
      </c>
      <c r="T193" s="16"/>
      <c r="U193" s="2">
        <f t="shared" si="184"/>
        <v>9581275.3832066525</v>
      </c>
      <c r="V193" s="2"/>
      <c r="W193" s="2"/>
      <c r="X193" s="2"/>
      <c r="Y193" s="2"/>
      <c r="Z193" s="2"/>
      <c r="AA193" s="2"/>
      <c r="AB193" s="2">
        <f t="shared" si="185"/>
        <v>28672541.712014377</v>
      </c>
      <c r="AC193" s="2"/>
      <c r="AD193" s="16">
        <f t="shared" si="186"/>
        <v>0.1556840238343381</v>
      </c>
      <c r="AE193" s="16"/>
      <c r="AF193" s="16"/>
      <c r="AG193" s="16"/>
      <c r="AH193" s="16">
        <f t="shared" si="187"/>
        <v>0</v>
      </c>
      <c r="AI193" s="16"/>
      <c r="AJ193" s="16"/>
      <c r="AK193" s="16"/>
      <c r="AL193" s="16"/>
      <c r="AZ193" s="2">
        <f t="shared" si="188"/>
        <v>212843922.98697782</v>
      </c>
    </row>
    <row r="194" spans="1:52" x14ac:dyDescent="0.2">
      <c r="A194" s="250"/>
      <c r="B194" s="14" t="s">
        <v>8</v>
      </c>
      <c r="C194" s="2">
        <f t="shared" si="175"/>
        <v>1144914908.9147277</v>
      </c>
      <c r="D194" s="2">
        <f t="shared" si="176"/>
        <v>394664381.38476104</v>
      </c>
      <c r="E194" s="2">
        <f t="shared" si="177"/>
        <v>530526253.77453148</v>
      </c>
      <c r="F194" s="4">
        <f t="shared" si="178"/>
        <v>219724273.75543517</v>
      </c>
      <c r="G194" s="1">
        <f t="shared" si="189"/>
        <v>0.80808680885838646</v>
      </c>
      <c r="H194" s="1">
        <f t="shared" si="179"/>
        <v>0.19191319114161351</v>
      </c>
      <c r="I194" s="29">
        <f t="shared" si="190"/>
        <v>0.03</v>
      </c>
      <c r="J194" s="2">
        <f t="shared" si="180"/>
        <v>15915787.613235943</v>
      </c>
      <c r="K194" s="2"/>
      <c r="L194" s="2"/>
      <c r="M194" s="2"/>
      <c r="N194" s="2"/>
      <c r="O194" s="16">
        <f t="shared" si="181"/>
        <v>0.17376548837089209</v>
      </c>
      <c r="P194" s="16">
        <f t="shared" si="182"/>
        <v>7.4166601178791411E-2</v>
      </c>
      <c r="Q194" s="2">
        <f t="shared" si="191"/>
        <v>19745194.922672115</v>
      </c>
      <c r="R194" s="2"/>
      <c r="S194" s="16">
        <f t="shared" si="183"/>
        <v>0.34585038712102789</v>
      </c>
      <c r="T194" s="16"/>
      <c r="U194" s="2">
        <f t="shared" si="184"/>
        <v>39299422.295009814</v>
      </c>
      <c r="V194" s="2"/>
      <c r="W194" s="2"/>
      <c r="X194" s="2"/>
      <c r="Y194" s="2"/>
      <c r="Z194" s="2"/>
      <c r="AA194" s="2"/>
      <c r="AB194" s="2">
        <f t="shared" si="185"/>
        <v>74960404.830917865</v>
      </c>
      <c r="AC194" s="2"/>
      <c r="AD194" s="16">
        <f t="shared" si="186"/>
        <v>0.14129443038416589</v>
      </c>
      <c r="AE194" s="16"/>
      <c r="AF194" s="16"/>
      <c r="AG194" s="16"/>
      <c r="AH194" s="16">
        <f t="shared" si="187"/>
        <v>0</v>
      </c>
      <c r="AI194" s="16"/>
      <c r="AJ194" s="16"/>
      <c r="AK194" s="16"/>
      <c r="AL194" s="16"/>
      <c r="AZ194" s="2">
        <f t="shared" si="188"/>
        <v>605486658.60544932</v>
      </c>
    </row>
    <row r="195" spans="1:52" x14ac:dyDescent="0.2">
      <c r="A195" s="250"/>
      <c r="B195" s="14" t="s">
        <v>9</v>
      </c>
      <c r="C195" s="2">
        <f t="shared" si="175"/>
        <v>115259893.28745578</v>
      </c>
      <c r="D195" s="2">
        <f t="shared" si="176"/>
        <v>49526977.701297164</v>
      </c>
      <c r="E195" s="2">
        <f t="shared" si="177"/>
        <v>64142666.653374434</v>
      </c>
      <c r="F195" s="4">
        <f t="shared" si="178"/>
        <v>1590248.9327841848</v>
      </c>
      <c r="G195" s="1">
        <f t="shared" si="189"/>
        <v>0.98620292898573025</v>
      </c>
      <c r="H195" s="1">
        <f t="shared" si="179"/>
        <v>1.3797071014269786E-2</v>
      </c>
      <c r="I195" s="29">
        <f t="shared" si="190"/>
        <v>0.03</v>
      </c>
      <c r="J195" s="2">
        <f t="shared" si="180"/>
        <v>1924279.9996012328</v>
      </c>
      <c r="K195" s="2"/>
      <c r="L195" s="2"/>
      <c r="M195" s="2"/>
      <c r="N195" s="2"/>
      <c r="O195" s="16">
        <f t="shared" si="181"/>
        <v>1.2492391839357084E-2</v>
      </c>
      <c r="P195" s="16">
        <f t="shared" si="182"/>
        <v>9.0514185497932859E-2</v>
      </c>
      <c r="Q195" s="2">
        <f t="shared" si="191"/>
        <v>1419526.4792282167</v>
      </c>
      <c r="R195" s="2"/>
      <c r="S195" s="16">
        <f t="shared" si="183"/>
        <v>2.5030835220071226E-3</v>
      </c>
      <c r="T195" s="16"/>
      <c r="U195" s="2">
        <f t="shared" si="184"/>
        <v>284428.58540625143</v>
      </c>
      <c r="V195" s="2"/>
      <c r="W195" s="2"/>
      <c r="X195" s="2"/>
      <c r="Y195" s="2"/>
      <c r="Z195" s="2"/>
      <c r="AA195" s="2"/>
      <c r="AB195" s="2">
        <f t="shared" si="185"/>
        <v>3628235.0642357008</v>
      </c>
      <c r="AC195" s="2"/>
      <c r="AD195" s="16">
        <f t="shared" si="186"/>
        <v>5.6565079899820875E-2</v>
      </c>
      <c r="AE195" s="16"/>
      <c r="AF195" s="16"/>
      <c r="AG195" s="16"/>
      <c r="AH195" s="16">
        <f t="shared" si="187"/>
        <v>0</v>
      </c>
      <c r="AI195" s="16"/>
      <c r="AJ195" s="16"/>
      <c r="AK195" s="16"/>
      <c r="AL195" s="16"/>
      <c r="AZ195" s="2">
        <f t="shared" si="188"/>
        <v>67770901.717610136</v>
      </c>
    </row>
    <row r="196" spans="1:52" x14ac:dyDescent="0.2">
      <c r="A196" s="250"/>
      <c r="B196" s="14" t="s">
        <v>10</v>
      </c>
      <c r="C196" s="2">
        <f t="shared" si="175"/>
        <v>1535687208.9993334</v>
      </c>
      <c r="D196" s="2">
        <f t="shared" si="176"/>
        <v>992530334.8269676</v>
      </c>
      <c r="E196" s="2">
        <f t="shared" si="177"/>
        <v>456500914.0588727</v>
      </c>
      <c r="F196" s="4">
        <f t="shared" si="178"/>
        <v>86655960.113493085</v>
      </c>
      <c r="G196" s="1">
        <f t="shared" si="189"/>
        <v>0.94357186827781236</v>
      </c>
      <c r="H196" s="1">
        <f t="shared" si="179"/>
        <v>5.6428131722187642E-2</v>
      </c>
      <c r="I196" s="29">
        <f t="shared" si="190"/>
        <v>0.03</v>
      </c>
      <c r="J196" s="2">
        <f t="shared" si="180"/>
        <v>13695027.421766181</v>
      </c>
      <c r="K196" s="2"/>
      <c r="L196" s="2"/>
      <c r="M196" s="2"/>
      <c r="N196" s="2"/>
      <c r="O196" s="16">
        <f t="shared" si="181"/>
        <v>5.1092172498594025E-2</v>
      </c>
      <c r="P196" s="16">
        <f t="shared" si="182"/>
        <v>8.6601485967767552E-2</v>
      </c>
      <c r="Q196" s="2">
        <f t="shared" si="191"/>
        <v>5805668.9764209678</v>
      </c>
      <c r="R196" s="2"/>
      <c r="S196" s="16">
        <f t="shared" si="183"/>
        <v>0.13639820871568401</v>
      </c>
      <c r="T196" s="16"/>
      <c r="U196" s="2">
        <f t="shared" si="184"/>
        <v>15499103.092588792</v>
      </c>
      <c r="V196" s="2"/>
      <c r="W196" s="2"/>
      <c r="X196" s="2"/>
      <c r="Y196" s="2"/>
      <c r="Z196" s="2"/>
      <c r="AA196" s="2"/>
      <c r="AB196" s="2">
        <f t="shared" si="185"/>
        <v>34999799.490775943</v>
      </c>
      <c r="AC196" s="2"/>
      <c r="AD196" s="16">
        <f t="shared" si="186"/>
        <v>7.6669724885287283E-2</v>
      </c>
      <c r="AE196" s="16"/>
      <c r="AF196" s="16"/>
      <c r="AG196" s="16"/>
      <c r="AH196" s="16">
        <f t="shared" si="187"/>
        <v>0</v>
      </c>
      <c r="AI196" s="16"/>
      <c r="AJ196" s="16"/>
      <c r="AK196" s="16"/>
      <c r="AL196" s="16"/>
      <c r="AZ196" s="2">
        <f t="shared" si="188"/>
        <v>491500713.54964864</v>
      </c>
    </row>
    <row r="197" spans="1:52" x14ac:dyDescent="0.2">
      <c r="A197" s="250"/>
      <c r="B197" s="14" t="s">
        <v>11</v>
      </c>
      <c r="C197" s="2">
        <f t="shared" si="175"/>
        <v>244812301.33937716</v>
      </c>
      <c r="D197" s="2">
        <f t="shared" si="176"/>
        <v>86213431.661612079</v>
      </c>
      <c r="E197" s="2">
        <f t="shared" si="177"/>
        <v>138012577.13042995</v>
      </c>
      <c r="F197" s="4">
        <f t="shared" si="178"/>
        <v>20586292.547335133</v>
      </c>
      <c r="G197" s="1">
        <f t="shared" si="189"/>
        <v>0.9159098932745342</v>
      </c>
      <c r="H197" s="1">
        <f t="shared" si="179"/>
        <v>8.4090106725465852E-2</v>
      </c>
      <c r="I197" s="29">
        <f t="shared" si="190"/>
        <v>0.03</v>
      </c>
      <c r="J197" s="2">
        <f t="shared" si="180"/>
        <v>4140377.3139128983</v>
      </c>
      <c r="K197" s="2"/>
      <c r="L197" s="2"/>
      <c r="M197" s="2"/>
      <c r="N197" s="2"/>
      <c r="O197" s="16">
        <f t="shared" si="181"/>
        <v>7.6138374727606872E-2</v>
      </c>
      <c r="P197" s="16">
        <f t="shared" si="182"/>
        <v>8.4062656419511231E-2</v>
      </c>
      <c r="Q197" s="2">
        <f t="shared" si="191"/>
        <v>8651701.0033845305</v>
      </c>
      <c r="R197" s="2"/>
      <c r="S197" s="16">
        <f t="shared" si="183"/>
        <v>3.240323485973734E-2</v>
      </c>
      <c r="T197" s="16"/>
      <c r="U197" s="2">
        <f t="shared" si="184"/>
        <v>3682021.0643036626</v>
      </c>
      <c r="V197" s="2"/>
      <c r="W197" s="2"/>
      <c r="X197" s="2"/>
      <c r="Y197" s="2"/>
      <c r="Z197" s="2"/>
      <c r="AA197" s="2"/>
      <c r="AB197" s="2">
        <f t="shared" si="185"/>
        <v>16474099.381601091</v>
      </c>
      <c r="AC197" s="2"/>
      <c r="AD197" s="16">
        <f t="shared" si="186"/>
        <v>0.11936665283796638</v>
      </c>
      <c r="AE197" s="16"/>
      <c r="AF197" s="16"/>
      <c r="AG197" s="16"/>
      <c r="AH197" s="16">
        <f t="shared" si="187"/>
        <v>0</v>
      </c>
      <c r="AI197" s="16"/>
      <c r="AJ197" s="16"/>
      <c r="AK197" s="16"/>
      <c r="AL197" s="16"/>
      <c r="AZ197" s="2">
        <f t="shared" si="188"/>
        <v>154486676.51203105</v>
      </c>
    </row>
    <row r="198" spans="1:52" x14ac:dyDescent="0.2">
      <c r="A198" s="250"/>
      <c r="B198" s="15" t="s">
        <v>14</v>
      </c>
      <c r="C198" s="30">
        <f>SUM(C186:C197)</f>
        <v>5562442876.272234</v>
      </c>
      <c r="D198" s="30">
        <f>SUM(D186:D197)</f>
        <v>2401987344.3326564</v>
      </c>
      <c r="E198" s="30">
        <f>SUM(E186:E197)</f>
        <v>2525139563.134418</v>
      </c>
      <c r="F198" s="26">
        <f>SUM(F186:F197)</f>
        <v>635315968.80515909</v>
      </c>
      <c r="G198" s="1">
        <f>1-H198</f>
        <v>0.88578472032221089</v>
      </c>
      <c r="H198" s="11">
        <f t="shared" si="179"/>
        <v>0.11421527967778915</v>
      </c>
      <c r="J198" s="30">
        <f>SUM(J186:J197)</f>
        <v>75754186.894032538</v>
      </c>
      <c r="K198" s="30"/>
      <c r="L198" s="30"/>
      <c r="M198" s="30"/>
      <c r="N198" s="30"/>
      <c r="O198" s="16"/>
      <c r="P198" s="16"/>
      <c r="Q198" s="30">
        <f>SUM(Q186:Q197)</f>
        <v>113631280.34104891</v>
      </c>
      <c r="R198" s="30"/>
      <c r="S198" s="30"/>
      <c r="T198" s="30"/>
      <c r="U198" s="30">
        <f>SUM(U186:U197)</f>
        <v>113631280.34104891</v>
      </c>
      <c r="V198" s="30"/>
      <c r="W198" s="30"/>
      <c r="X198" s="30"/>
      <c r="Y198" s="30"/>
      <c r="Z198" s="30"/>
      <c r="AA198" s="30"/>
      <c r="AB198" s="30">
        <f>SUM(AB186:AB197)</f>
        <v>303016747.57613033</v>
      </c>
      <c r="AC198" s="30"/>
      <c r="AD198" s="16">
        <f t="shared" si="186"/>
        <v>0.12000000000000006</v>
      </c>
      <c r="AE198" s="16"/>
      <c r="AF198" s="16"/>
      <c r="AG198" s="16"/>
      <c r="AH198" s="16">
        <f t="shared" si="187"/>
        <v>0</v>
      </c>
      <c r="AI198" s="16"/>
      <c r="AJ198" s="16"/>
      <c r="AK198" s="16"/>
      <c r="AL198" s="16"/>
      <c r="AZ198" s="3">
        <f>SUM(AZ186:AZ197)</f>
        <v>2828156310.7105489</v>
      </c>
    </row>
    <row r="199" spans="1:52" x14ac:dyDescent="0.2">
      <c r="C199" s="30"/>
      <c r="D199" s="30"/>
      <c r="E199" s="30"/>
      <c r="F199" s="26"/>
      <c r="G199" s="21">
        <f>SUM(G186:G197)</f>
        <v>10.895562099581097</v>
      </c>
      <c r="H199" s="21">
        <f>SUM(H186:H197)</f>
        <v>1.1044379004189038</v>
      </c>
      <c r="I199" s="10" t="s">
        <v>30</v>
      </c>
      <c r="J199" s="17">
        <f>C181-SUM(J186:J197)</f>
        <v>227262560.68209785</v>
      </c>
      <c r="K199" s="17"/>
      <c r="L199" s="17"/>
      <c r="M199" s="17"/>
      <c r="N199" s="17"/>
    </row>
    <row r="202" spans="1:52" x14ac:dyDescent="0.2">
      <c r="A202" s="250">
        <v>8</v>
      </c>
      <c r="B202" t="s">
        <v>34</v>
      </c>
      <c r="C202" s="4">
        <f>AZ198</f>
        <v>2828156310.7105489</v>
      </c>
      <c r="D202" s="4"/>
    </row>
    <row r="203" spans="1:52" x14ac:dyDescent="0.2">
      <c r="A203" s="250"/>
      <c r="B203" t="s">
        <v>27</v>
      </c>
      <c r="C203" s="6">
        <f>C202*(1+C204)</f>
        <v>3167535067.9958153</v>
      </c>
      <c r="D203" s="6"/>
    </row>
    <row r="204" spans="1:52" x14ac:dyDescent="0.2">
      <c r="A204" s="250"/>
      <c r="B204" t="s">
        <v>28</v>
      </c>
      <c r="C204" s="20">
        <f>C4</f>
        <v>0.12</v>
      </c>
      <c r="D204" s="20"/>
    </row>
    <row r="205" spans="1:52" x14ac:dyDescent="0.2">
      <c r="A205" s="250"/>
      <c r="B205" t="s">
        <v>16</v>
      </c>
      <c r="C205" s="20">
        <f>C5</f>
        <v>0.03</v>
      </c>
      <c r="D205" s="20"/>
    </row>
    <row r="206" spans="1:52" x14ac:dyDescent="0.2">
      <c r="A206" s="250"/>
      <c r="B206" t="s">
        <v>31</v>
      </c>
      <c r="C206" s="6">
        <f>C203-C202</f>
        <v>339378757.2852664</v>
      </c>
      <c r="D206" s="6"/>
    </row>
    <row r="207" spans="1:52" x14ac:dyDescent="0.2">
      <c r="A207" s="250"/>
      <c r="B207" t="s">
        <v>48</v>
      </c>
      <c r="C207" s="20">
        <f>((1+$C$5)^A202)-1</f>
        <v>0.26677008138761593</v>
      </c>
      <c r="D207" s="20"/>
    </row>
    <row r="208" spans="1:52" ht="21" x14ac:dyDescent="0.25">
      <c r="A208" s="250"/>
      <c r="F208" s="6"/>
      <c r="G208" s="6"/>
      <c r="I208" s="251" t="s">
        <v>18</v>
      </c>
      <c r="J208" s="251"/>
      <c r="K208" s="251"/>
      <c r="L208" s="251"/>
      <c r="M208" s="251"/>
      <c r="N208" s="251"/>
      <c r="O208" s="251"/>
      <c r="P208" s="251"/>
      <c r="Q208" s="251"/>
      <c r="R208" s="251"/>
      <c r="S208" s="251"/>
      <c r="T208" s="251"/>
      <c r="U208" s="251"/>
      <c r="V208" s="251"/>
      <c r="W208" s="251"/>
      <c r="X208" s="251"/>
      <c r="Y208" s="251"/>
      <c r="Z208" s="251"/>
      <c r="AA208" s="251"/>
      <c r="AB208" s="251"/>
      <c r="AC208" s="251"/>
      <c r="AD208" s="251"/>
      <c r="AE208" s="107"/>
      <c r="AF208" s="107"/>
      <c r="AG208" s="107"/>
      <c r="AH208" s="107"/>
      <c r="AI208" s="107"/>
      <c r="AJ208" s="107"/>
      <c r="AK208" s="107"/>
      <c r="AL208" s="107"/>
    </row>
    <row r="209" spans="1:52" x14ac:dyDescent="0.2">
      <c r="A209" s="250" t="s">
        <v>51</v>
      </c>
      <c r="I209" s="255" t="s">
        <v>19</v>
      </c>
      <c r="J209" s="255"/>
      <c r="K209" s="255"/>
      <c r="L209" s="255"/>
      <c r="M209" s="255"/>
      <c r="N209" s="255"/>
      <c r="O209" s="255"/>
      <c r="P209" s="255"/>
      <c r="Q209" s="255"/>
      <c r="R209" s="255"/>
      <c r="S209" s="255"/>
      <c r="T209" s="255"/>
      <c r="U209" s="255"/>
      <c r="V209" s="255"/>
      <c r="W209" s="255"/>
      <c r="X209" s="255"/>
      <c r="Y209" s="255"/>
      <c r="Z209" s="255"/>
      <c r="AA209" s="255"/>
      <c r="AB209" s="255"/>
      <c r="AC209" s="255"/>
      <c r="AD209" s="255"/>
      <c r="AE209" s="115"/>
      <c r="AF209" s="115"/>
      <c r="AG209" s="115"/>
      <c r="AH209" s="115"/>
      <c r="AI209" s="115"/>
      <c r="AJ209" s="115"/>
      <c r="AK209" s="115"/>
      <c r="AL209" s="115"/>
    </row>
    <row r="210" spans="1:52" ht="49" thickBot="1" x14ac:dyDescent="0.25">
      <c r="A210" s="250"/>
      <c r="B210" s="22" t="s">
        <v>12</v>
      </c>
      <c r="C210" s="13" t="s">
        <v>15</v>
      </c>
      <c r="D210" s="13" t="s">
        <v>63</v>
      </c>
      <c r="E210" s="13" t="s">
        <v>29</v>
      </c>
      <c r="F210" s="13" t="s">
        <v>13</v>
      </c>
      <c r="G210" s="13" t="s">
        <v>50</v>
      </c>
      <c r="H210" s="13" t="s">
        <v>17</v>
      </c>
      <c r="I210" s="28" t="s">
        <v>20</v>
      </c>
      <c r="J210" s="28" t="s">
        <v>21</v>
      </c>
      <c r="K210" s="28"/>
      <c r="L210" s="28"/>
      <c r="M210" s="28"/>
      <c r="N210" s="28"/>
      <c r="O210" s="28" t="s">
        <v>22</v>
      </c>
      <c r="P210" s="28" t="s">
        <v>49</v>
      </c>
      <c r="Q210" s="28" t="s">
        <v>23</v>
      </c>
      <c r="R210" s="28"/>
      <c r="S210" s="28" t="s">
        <v>71</v>
      </c>
      <c r="T210" s="28"/>
      <c r="U210" s="28" t="s">
        <v>72</v>
      </c>
      <c r="V210" s="28"/>
      <c r="W210" s="28"/>
      <c r="X210" s="28"/>
      <c r="Y210" s="28"/>
      <c r="Z210" s="28"/>
      <c r="AA210" s="28"/>
      <c r="AB210" s="28" t="s">
        <v>24</v>
      </c>
      <c r="AC210" s="28"/>
      <c r="AD210" s="28" t="s">
        <v>25</v>
      </c>
      <c r="AE210" s="116"/>
      <c r="AF210" s="116"/>
      <c r="AG210" s="116"/>
      <c r="AH210" s="28" t="s">
        <v>25</v>
      </c>
      <c r="AI210" s="116"/>
      <c r="AJ210" s="116"/>
      <c r="AK210" s="116"/>
      <c r="AL210" s="116"/>
      <c r="AZ210" s="28" t="s">
        <v>32</v>
      </c>
    </row>
    <row r="211" spans="1:52" ht="16" thickTop="1" x14ac:dyDescent="0.2">
      <c r="A211" s="250"/>
      <c r="B211" s="14" t="s">
        <v>0</v>
      </c>
      <c r="C211" s="2">
        <f t="shared" ref="C211:C222" si="192">VLOOKUP($B211,$B$10:$Q$23,2,FALSE)*(1+$C$207)</f>
        <v>100019311.53499377</v>
      </c>
      <c r="D211" s="2">
        <f t="shared" ref="D211:D222" si="193">VLOOKUP($B211,$B$10:$Q$23,3,FALSE)*(1+$C$207)</f>
        <v>16253497.847717306</v>
      </c>
      <c r="E211" s="2">
        <f t="shared" ref="E211:E222" si="194">AZ186</f>
        <v>83912886.022043094</v>
      </c>
      <c r="F211" s="4">
        <f t="shared" ref="F211:F222" si="195">C211-E211-D211</f>
        <v>-147072.33476663195</v>
      </c>
      <c r="G211" s="1">
        <f>1-H211</f>
        <v>1</v>
      </c>
      <c r="H211" s="1">
        <f t="shared" ref="H211:H223" si="196">MAX(0,F211/C211)</f>
        <v>0</v>
      </c>
      <c r="I211" s="29">
        <f>MIN($C$5,($C$4*0.5))*$C$8</f>
        <v>0.03</v>
      </c>
      <c r="J211" s="2">
        <f t="shared" ref="J211:J222" si="197">I211*E211</f>
        <v>2517386.5806612927</v>
      </c>
      <c r="K211" s="2"/>
      <c r="L211" s="2"/>
      <c r="M211" s="2"/>
      <c r="N211" s="2"/>
      <c r="O211" s="16">
        <f t="shared" ref="O211:O222" si="198">H211/$H$224</f>
        <v>0</v>
      </c>
      <c r="P211" s="16">
        <f t="shared" ref="P211:P222" si="199">G211/$G$224</f>
        <v>8.7825496086375632E-2</v>
      </c>
      <c r="Q211" s="2">
        <f>$J$224*IF($J$224&lt;0,P211,O211)*0.5</f>
        <v>0</v>
      </c>
      <c r="R211" s="2"/>
      <c r="S211" s="16">
        <f t="shared" ref="S211:S222" si="200">MAX(F211,0)/$F$223</f>
        <v>0</v>
      </c>
      <c r="T211" s="16"/>
      <c r="U211" s="2">
        <f t="shared" ref="U211:U222" si="201">S211*$J$224*0.5</f>
        <v>0</v>
      </c>
      <c r="V211" s="2"/>
      <c r="W211" s="2"/>
      <c r="X211" s="2"/>
      <c r="Y211" s="2"/>
      <c r="Z211" s="2"/>
      <c r="AA211" s="2"/>
      <c r="AB211" s="2">
        <f t="shared" ref="AB211:AB222" si="202">J211+Q211+U211</f>
        <v>2517386.5806612927</v>
      </c>
      <c r="AC211" s="2"/>
      <c r="AD211" s="16">
        <f t="shared" ref="AD211:AD223" si="203">AB211/E211</f>
        <v>0.03</v>
      </c>
      <c r="AE211" s="16"/>
      <c r="AF211" s="16"/>
      <c r="AG211" s="16"/>
      <c r="AH211" s="16" t="e">
        <f t="shared" ref="AH211:AH223" si="204">AG211/H211</f>
        <v>#DIV/0!</v>
      </c>
      <c r="AI211" s="16"/>
      <c r="AJ211" s="16"/>
      <c r="AK211" s="16"/>
      <c r="AL211" s="16"/>
      <c r="AZ211" s="2">
        <f t="shared" ref="AZ211:AZ222" si="205">AB211+E211</f>
        <v>86430272.602704391</v>
      </c>
    </row>
    <row r="212" spans="1:52" x14ac:dyDescent="0.2">
      <c r="A212" s="250"/>
      <c r="B212" s="14" t="s">
        <v>1</v>
      </c>
      <c r="C212" s="2">
        <f t="shared" si="192"/>
        <v>213251286.46805835</v>
      </c>
      <c r="D212" s="2">
        <f t="shared" si="193"/>
        <v>72171693.64867498</v>
      </c>
      <c r="E212" s="2">
        <f t="shared" si="194"/>
        <v>135919988.76484373</v>
      </c>
      <c r="F212" s="4">
        <f t="shared" si="195"/>
        <v>5159604.0545396358</v>
      </c>
      <c r="G212" s="1">
        <f t="shared" ref="G212:G222" si="206">1-H212</f>
        <v>0.97580505074555568</v>
      </c>
      <c r="H212" s="1">
        <f t="shared" si="196"/>
        <v>2.4194949254444299E-2</v>
      </c>
      <c r="I212" s="29">
        <f t="shared" ref="I212:I222" si="207">MIN($C$5,($C$4*0.5))*$C$8</f>
        <v>0.03</v>
      </c>
      <c r="J212" s="2">
        <f t="shared" si="197"/>
        <v>4077599.662945312</v>
      </c>
      <c r="K212" s="2"/>
      <c r="L212" s="2"/>
      <c r="M212" s="2"/>
      <c r="N212" s="2"/>
      <c r="O212" s="16">
        <f t="shared" si="198"/>
        <v>3.9419271923773522E-2</v>
      </c>
      <c r="P212" s="16">
        <f t="shared" si="199"/>
        <v>8.5700562665319377E-2</v>
      </c>
      <c r="Q212" s="2">
        <f t="shared" ref="Q212:Q222" si="208">$J$224*IF($J$224&lt;0,P212,O212)*0.5</f>
        <v>5016773.8194675958</v>
      </c>
      <c r="R212" s="2"/>
      <c r="S212" s="16">
        <f t="shared" si="200"/>
        <v>1.2080188187527183E-2</v>
      </c>
      <c r="T212" s="16"/>
      <c r="U212" s="2">
        <f t="shared" si="201"/>
        <v>1537409.7205706746</v>
      </c>
      <c r="V212" s="2"/>
      <c r="W212" s="2"/>
      <c r="X212" s="2"/>
      <c r="Y212" s="2"/>
      <c r="Z212" s="2"/>
      <c r="AA212" s="2"/>
      <c r="AB212" s="2">
        <f t="shared" si="202"/>
        <v>10631783.202983582</v>
      </c>
      <c r="AC212" s="2"/>
      <c r="AD212" s="16">
        <f t="shared" si="203"/>
        <v>7.822089524578843E-2</v>
      </c>
      <c r="AE212" s="16"/>
      <c r="AF212" s="16"/>
      <c r="AG212" s="16"/>
      <c r="AH212" s="16">
        <f t="shared" si="204"/>
        <v>0</v>
      </c>
      <c r="AI212" s="16"/>
      <c r="AJ212" s="16"/>
      <c r="AK212" s="16"/>
      <c r="AL212" s="16"/>
      <c r="AZ212" s="2">
        <f t="shared" si="205"/>
        <v>146551771.96782732</v>
      </c>
    </row>
    <row r="213" spans="1:52" x14ac:dyDescent="0.2">
      <c r="A213" s="250"/>
      <c r="B213" s="14" t="s">
        <v>2</v>
      </c>
      <c r="C213" s="2">
        <f t="shared" si="192"/>
        <v>147141349.55958176</v>
      </c>
      <c r="D213" s="2">
        <f t="shared" si="193"/>
        <v>33602839.221946768</v>
      </c>
      <c r="E213" s="2">
        <f t="shared" si="194"/>
        <v>112631689.2233668</v>
      </c>
      <c r="F213" s="4">
        <f t="shared" si="195"/>
        <v>906821.11426819116</v>
      </c>
      <c r="G213" s="1">
        <f t="shared" si="206"/>
        <v>0.99383707491481865</v>
      </c>
      <c r="H213" s="1">
        <f t="shared" si="196"/>
        <v>6.1629250851813972E-3</v>
      </c>
      <c r="I213" s="29">
        <f t="shared" si="207"/>
        <v>0.03</v>
      </c>
      <c r="J213" s="2">
        <f t="shared" si="197"/>
        <v>3378950.6767010037</v>
      </c>
      <c r="K213" s="2"/>
      <c r="L213" s="2"/>
      <c r="M213" s="2"/>
      <c r="N213" s="2"/>
      <c r="O213" s="16">
        <f t="shared" si="198"/>
        <v>1.0040856759969687E-2</v>
      </c>
      <c r="P213" s="16">
        <f t="shared" si="199"/>
        <v>8.7284234133426411E-2</v>
      </c>
      <c r="Q213" s="2">
        <f t="shared" si="208"/>
        <v>1277870.0584792052</v>
      </c>
      <c r="R213" s="2"/>
      <c r="S213" s="16">
        <f t="shared" si="200"/>
        <v>2.1231415428369068E-3</v>
      </c>
      <c r="T213" s="16"/>
      <c r="U213" s="2">
        <f t="shared" si="201"/>
        <v>270205.92688076734</v>
      </c>
      <c r="V213" s="2"/>
      <c r="W213" s="2"/>
      <c r="X213" s="2"/>
      <c r="Y213" s="2"/>
      <c r="Z213" s="2"/>
      <c r="AA213" s="2"/>
      <c r="AB213" s="2">
        <f t="shared" si="202"/>
        <v>4927026.662060976</v>
      </c>
      <c r="AC213" s="2"/>
      <c r="AD213" s="16">
        <f t="shared" si="203"/>
        <v>4.3744586412886768E-2</v>
      </c>
      <c r="AE213" s="16"/>
      <c r="AF213" s="16"/>
      <c r="AG213" s="16"/>
      <c r="AH213" s="16">
        <f t="shared" si="204"/>
        <v>0</v>
      </c>
      <c r="AI213" s="16"/>
      <c r="AJ213" s="16"/>
      <c r="AK213" s="16"/>
      <c r="AL213" s="16"/>
      <c r="AZ213" s="2">
        <f t="shared" si="205"/>
        <v>117558715.88542777</v>
      </c>
    </row>
    <row r="214" spans="1:52" x14ac:dyDescent="0.2">
      <c r="A214" s="250"/>
      <c r="B214" s="14" t="s">
        <v>3</v>
      </c>
      <c r="C214" s="2">
        <f t="shared" si="192"/>
        <v>606338851.67646825</v>
      </c>
      <c r="D214" s="2">
        <f t="shared" si="193"/>
        <v>239706778.59104219</v>
      </c>
      <c r="E214" s="2">
        <f t="shared" si="194"/>
        <v>292806022.86686707</v>
      </c>
      <c r="F214" s="4">
        <f t="shared" si="195"/>
        <v>73826050.218558997</v>
      </c>
      <c r="G214" s="1">
        <f t="shared" si="206"/>
        <v>0.87824291645762576</v>
      </c>
      <c r="H214" s="1">
        <f t="shared" si="196"/>
        <v>0.12175708354237422</v>
      </c>
      <c r="I214" s="29">
        <f t="shared" si="207"/>
        <v>0.03</v>
      </c>
      <c r="J214" s="2">
        <f t="shared" si="197"/>
        <v>8784180.6860060114</v>
      </c>
      <c r="K214" s="2"/>
      <c r="L214" s="2"/>
      <c r="M214" s="2"/>
      <c r="N214" s="2"/>
      <c r="O214" s="16">
        <f t="shared" si="198"/>
        <v>0.1983709713266226</v>
      </c>
      <c r="P214" s="16">
        <f t="shared" si="199"/>
        <v>7.7132119822236334E-2</v>
      </c>
      <c r="Q214" s="2">
        <f t="shared" si="208"/>
        <v>25246085.14886266</v>
      </c>
      <c r="R214" s="2"/>
      <c r="S214" s="16">
        <f t="shared" si="200"/>
        <v>0.17284903460709419</v>
      </c>
      <c r="T214" s="16"/>
      <c r="U214" s="2">
        <f t="shared" si="201"/>
        <v>21997983.961092621</v>
      </c>
      <c r="V214" s="2"/>
      <c r="W214" s="2"/>
      <c r="X214" s="2"/>
      <c r="Y214" s="2"/>
      <c r="Z214" s="2"/>
      <c r="AA214" s="2"/>
      <c r="AB214" s="2">
        <f t="shared" si="202"/>
        <v>56028249.795961291</v>
      </c>
      <c r="AC214" s="2"/>
      <c r="AD214" s="16">
        <f t="shared" si="203"/>
        <v>0.19134937610704886</v>
      </c>
      <c r="AE214" s="16"/>
      <c r="AF214" s="16"/>
      <c r="AG214" s="16"/>
      <c r="AH214" s="16">
        <f t="shared" si="204"/>
        <v>0</v>
      </c>
      <c r="AI214" s="16"/>
      <c r="AJ214" s="16"/>
      <c r="AK214" s="16"/>
      <c r="AL214" s="16"/>
      <c r="AZ214" s="2">
        <f t="shared" si="205"/>
        <v>348834272.66282833</v>
      </c>
    </row>
    <row r="215" spans="1:52" x14ac:dyDescent="0.2">
      <c r="A215" s="250"/>
      <c r="B215" s="14" t="s">
        <v>4</v>
      </c>
      <c r="C215" s="2">
        <f t="shared" si="192"/>
        <v>218268705.85091591</v>
      </c>
      <c r="D215" s="2">
        <f t="shared" si="193"/>
        <v>36852998.395998567</v>
      </c>
      <c r="E215" s="2">
        <f t="shared" si="194"/>
        <v>172845535.33112094</v>
      </c>
      <c r="F215" s="4">
        <f t="shared" si="195"/>
        <v>8570172.1237964034</v>
      </c>
      <c r="G215" s="1">
        <f t="shared" si="206"/>
        <v>0.96073568086462158</v>
      </c>
      <c r="H215" s="1">
        <f t="shared" si="196"/>
        <v>3.926431913537843E-2</v>
      </c>
      <c r="I215" s="29">
        <f t="shared" si="207"/>
        <v>0.03</v>
      </c>
      <c r="J215" s="2">
        <f t="shared" si="197"/>
        <v>5185366.059933628</v>
      </c>
      <c r="K215" s="2"/>
      <c r="L215" s="2"/>
      <c r="M215" s="2"/>
      <c r="N215" s="2"/>
      <c r="O215" s="16">
        <f t="shared" si="198"/>
        <v>6.3970825341367513E-2</v>
      </c>
      <c r="P215" s="16">
        <f t="shared" si="199"/>
        <v>8.4377087779817256E-2</v>
      </c>
      <c r="Q215" s="2">
        <f t="shared" si="208"/>
        <v>8141377.2025748044</v>
      </c>
      <c r="R215" s="2"/>
      <c r="S215" s="16">
        <f t="shared" si="200"/>
        <v>2.0065355977048407E-2</v>
      </c>
      <c r="T215" s="16"/>
      <c r="U215" s="2">
        <f t="shared" si="201"/>
        <v>2553658.340991444</v>
      </c>
      <c r="V215" s="2"/>
      <c r="W215" s="2"/>
      <c r="X215" s="2"/>
      <c r="Y215" s="2"/>
      <c r="Z215" s="2"/>
      <c r="AA215" s="2"/>
      <c r="AB215" s="2">
        <f t="shared" si="202"/>
        <v>15880401.603499878</v>
      </c>
      <c r="AC215" s="2"/>
      <c r="AD215" s="16">
        <f t="shared" si="203"/>
        <v>9.187626150179537E-2</v>
      </c>
      <c r="AE215" s="16"/>
      <c r="AF215" s="16"/>
      <c r="AG215" s="16"/>
      <c r="AH215" s="16">
        <f t="shared" si="204"/>
        <v>0</v>
      </c>
      <c r="AI215" s="16"/>
      <c r="AJ215" s="16"/>
      <c r="AK215" s="16"/>
      <c r="AL215" s="16"/>
      <c r="AZ215" s="2">
        <f t="shared" si="205"/>
        <v>188725936.93462083</v>
      </c>
    </row>
    <row r="216" spans="1:52" x14ac:dyDescent="0.2">
      <c r="A216" s="250"/>
      <c r="B216" s="14" t="s">
        <v>5</v>
      </c>
      <c r="C216" s="2">
        <f t="shared" si="192"/>
        <v>516956784.04710037</v>
      </c>
      <c r="D216" s="2">
        <f t="shared" si="193"/>
        <v>164469668.6258564</v>
      </c>
      <c r="E216" s="2">
        <f t="shared" si="194"/>
        <v>296034438.11329842</v>
      </c>
      <c r="F216" s="4">
        <f t="shared" si="195"/>
        <v>56452677.307945549</v>
      </c>
      <c r="G216" s="1">
        <f t="shared" si="206"/>
        <v>0.89079807239205877</v>
      </c>
      <c r="H216" s="1">
        <f t="shared" si="196"/>
        <v>0.1092019276079412</v>
      </c>
      <c r="I216" s="29">
        <f t="shared" si="207"/>
        <v>0.03</v>
      </c>
      <c r="J216" s="2">
        <f t="shared" si="197"/>
        <v>8881033.1433989517</v>
      </c>
      <c r="K216" s="2"/>
      <c r="L216" s="2"/>
      <c r="M216" s="2"/>
      <c r="N216" s="2"/>
      <c r="O216" s="16">
        <f t="shared" si="198"/>
        <v>0.17791566469960482</v>
      </c>
      <c r="P216" s="16">
        <f t="shared" si="199"/>
        <v>7.8234782620619711E-2</v>
      </c>
      <c r="Q216" s="2">
        <f t="shared" si="208"/>
        <v>22642798.945250269</v>
      </c>
      <c r="R216" s="2"/>
      <c r="S216" s="16">
        <f t="shared" si="200"/>
        <v>0.13217273231842502</v>
      </c>
      <c r="T216" s="16"/>
      <c r="U216" s="2">
        <f t="shared" si="201"/>
        <v>16821231.615459476</v>
      </c>
      <c r="V216" s="2"/>
      <c r="W216" s="2"/>
      <c r="X216" s="2"/>
      <c r="Y216" s="2"/>
      <c r="Z216" s="2"/>
      <c r="AA216" s="2"/>
      <c r="AB216" s="2">
        <f t="shared" si="202"/>
        <v>48345063.7041087</v>
      </c>
      <c r="AC216" s="2"/>
      <c r="AD216" s="16">
        <f t="shared" si="203"/>
        <v>0.16330891774694828</v>
      </c>
      <c r="AE216" s="16"/>
      <c r="AF216" s="16"/>
      <c r="AG216" s="16"/>
      <c r="AH216" s="16">
        <f t="shared" si="204"/>
        <v>0</v>
      </c>
      <c r="AI216" s="16"/>
      <c r="AJ216" s="16"/>
      <c r="AK216" s="16"/>
      <c r="AL216" s="16"/>
      <c r="AZ216" s="2">
        <f t="shared" si="205"/>
        <v>344379501.81740713</v>
      </c>
    </row>
    <row r="217" spans="1:52" x14ac:dyDescent="0.2">
      <c r="A217" s="250"/>
      <c r="B217" s="14" t="s">
        <v>6</v>
      </c>
      <c r="C217" s="2">
        <f t="shared" si="192"/>
        <v>376986048.63616526</v>
      </c>
      <c r="D217" s="2">
        <f t="shared" si="193"/>
        <v>168779829.08961269</v>
      </c>
      <c r="E217" s="2">
        <f t="shared" si="194"/>
        <v>201916877.01729149</v>
      </c>
      <c r="F217" s="4">
        <f t="shared" si="195"/>
        <v>6289342.5292610824</v>
      </c>
      <c r="G217" s="1">
        <f t="shared" si="206"/>
        <v>0.98331677643771109</v>
      </c>
      <c r="H217" s="1">
        <f t="shared" si="196"/>
        <v>1.6683223562288955E-2</v>
      </c>
      <c r="I217" s="29">
        <f t="shared" si="207"/>
        <v>0.03</v>
      </c>
      <c r="J217" s="2">
        <f t="shared" si="197"/>
        <v>6057506.3105187444</v>
      </c>
      <c r="K217" s="2"/>
      <c r="L217" s="2"/>
      <c r="M217" s="2"/>
      <c r="N217" s="2"/>
      <c r="O217" s="16">
        <f t="shared" si="198"/>
        <v>2.7180901238971347E-2</v>
      </c>
      <c r="P217" s="16">
        <f t="shared" si="199"/>
        <v>8.636028370069769E-2</v>
      </c>
      <c r="Q217" s="2">
        <f t="shared" si="208"/>
        <v>3459232.6816408718</v>
      </c>
      <c r="R217" s="2"/>
      <c r="S217" s="16">
        <f t="shared" si="200"/>
        <v>1.4725246458096879E-2</v>
      </c>
      <c r="T217" s="16"/>
      <c r="U217" s="2">
        <f t="shared" si="201"/>
        <v>1874038.441375572</v>
      </c>
      <c r="V217" s="2"/>
      <c r="W217" s="2"/>
      <c r="X217" s="2"/>
      <c r="Y217" s="2"/>
      <c r="Z217" s="2"/>
      <c r="AA217" s="2"/>
      <c r="AB217" s="2">
        <f t="shared" si="202"/>
        <v>11390777.433535188</v>
      </c>
      <c r="AC217" s="2"/>
      <c r="AD217" s="16">
        <f t="shared" si="203"/>
        <v>5.6413201322243707E-2</v>
      </c>
      <c r="AE217" s="16"/>
      <c r="AF217" s="16"/>
      <c r="AG217" s="16"/>
      <c r="AH217" s="16">
        <f t="shared" si="204"/>
        <v>0</v>
      </c>
      <c r="AI217" s="16"/>
      <c r="AJ217" s="16"/>
      <c r="AK217" s="16"/>
      <c r="AL217" s="16"/>
      <c r="AZ217" s="2">
        <f t="shared" si="205"/>
        <v>213307654.45082667</v>
      </c>
    </row>
    <row r="218" spans="1:52" x14ac:dyDescent="0.2">
      <c r="A218" s="250"/>
      <c r="B218" s="14" t="s">
        <v>7</v>
      </c>
      <c r="C218" s="2">
        <f t="shared" si="192"/>
        <v>418459282.86999601</v>
      </c>
      <c r="D218" s="2">
        <f t="shared" si="193"/>
        <v>173586479.89991018</v>
      </c>
      <c r="E218" s="2">
        <f t="shared" si="194"/>
        <v>212843922.98697782</v>
      </c>
      <c r="F218" s="4">
        <f t="shared" si="195"/>
        <v>32028879.983108014</v>
      </c>
      <c r="G218" s="1">
        <f t="shared" si="206"/>
        <v>0.92345998453317013</v>
      </c>
      <c r="H218" s="1">
        <f t="shared" si="196"/>
        <v>7.6540015466829828E-2</v>
      </c>
      <c r="I218" s="29">
        <f t="shared" si="207"/>
        <v>0.03</v>
      </c>
      <c r="J218" s="2">
        <f t="shared" si="197"/>
        <v>6385317.6896093339</v>
      </c>
      <c r="K218" s="2"/>
      <c r="L218" s="2"/>
      <c r="M218" s="2"/>
      <c r="N218" s="2"/>
      <c r="O218" s="16">
        <f t="shared" si="198"/>
        <v>0.12470171567657182</v>
      </c>
      <c r="P218" s="16">
        <f t="shared" si="199"/>
        <v>8.1103331257542433E-2</v>
      </c>
      <c r="Q218" s="2">
        <f t="shared" si="208"/>
        <v>15870417.486620845</v>
      </c>
      <c r="R218" s="2"/>
      <c r="S218" s="16">
        <f t="shared" si="200"/>
        <v>7.4989261490180315E-2</v>
      </c>
      <c r="T218" s="16"/>
      <c r="U218" s="2">
        <f t="shared" si="201"/>
        <v>9543660.8903539851</v>
      </c>
      <c r="V218" s="2"/>
      <c r="W218" s="2"/>
      <c r="X218" s="2"/>
      <c r="Y218" s="2"/>
      <c r="Z218" s="2"/>
      <c r="AA218" s="2"/>
      <c r="AB218" s="2">
        <f t="shared" si="202"/>
        <v>31799396.066584162</v>
      </c>
      <c r="AC218" s="2"/>
      <c r="AD218" s="16">
        <f t="shared" si="203"/>
        <v>0.14940241478508037</v>
      </c>
      <c r="AE218" s="16"/>
      <c r="AF218" s="16"/>
      <c r="AG218" s="16"/>
      <c r="AH218" s="16">
        <f t="shared" si="204"/>
        <v>0</v>
      </c>
      <c r="AI218" s="16"/>
      <c r="AJ218" s="16"/>
      <c r="AK218" s="16"/>
      <c r="AL218" s="16"/>
      <c r="AZ218" s="2">
        <f t="shared" si="205"/>
        <v>244643319.05356199</v>
      </c>
    </row>
    <row r="219" spans="1:52" x14ac:dyDescent="0.2">
      <c r="A219" s="250"/>
      <c r="B219" s="14" t="s">
        <v>8</v>
      </c>
      <c r="C219" s="2">
        <f t="shared" si="192"/>
        <v>1179262356.1821694</v>
      </c>
      <c r="D219" s="2">
        <f t="shared" si="193"/>
        <v>406504312.82630384</v>
      </c>
      <c r="E219" s="2">
        <f t="shared" si="194"/>
        <v>605486658.60544932</v>
      </c>
      <c r="F219" s="4">
        <f t="shared" si="195"/>
        <v>167271384.75041628</v>
      </c>
      <c r="G219" s="1">
        <f t="shared" si="206"/>
        <v>0.858155919356272</v>
      </c>
      <c r="H219" s="1">
        <f t="shared" si="196"/>
        <v>0.14184408064372794</v>
      </c>
      <c r="I219" s="29">
        <f t="shared" si="207"/>
        <v>0.03</v>
      </c>
      <c r="J219" s="2">
        <f t="shared" si="197"/>
        <v>18164599.758163478</v>
      </c>
      <c r="K219" s="2"/>
      <c r="L219" s="2"/>
      <c r="M219" s="2"/>
      <c r="N219" s="2"/>
      <c r="O219" s="16">
        <f t="shared" si="198"/>
        <v>0.23109742148542453</v>
      </c>
      <c r="P219" s="16">
        <f t="shared" si="199"/>
        <v>7.5367969336924343E-2</v>
      </c>
      <c r="Q219" s="2">
        <f t="shared" si="208"/>
        <v>29411083.393332314</v>
      </c>
      <c r="R219" s="2"/>
      <c r="S219" s="16">
        <f t="shared" si="200"/>
        <v>0.39163272701040375</v>
      </c>
      <c r="T219" s="16"/>
      <c r="U219" s="2">
        <f t="shared" si="201"/>
        <v>49841935.576886579</v>
      </c>
      <c r="V219" s="2"/>
      <c r="W219" s="2"/>
      <c r="X219" s="2"/>
      <c r="Y219" s="2"/>
      <c r="Z219" s="2"/>
      <c r="AA219" s="2"/>
      <c r="AB219" s="2">
        <f t="shared" si="202"/>
        <v>97417618.728382379</v>
      </c>
      <c r="AC219" s="2"/>
      <c r="AD219" s="16">
        <f t="shared" si="203"/>
        <v>0.16089143723290888</v>
      </c>
      <c r="AE219" s="16"/>
      <c r="AF219" s="16"/>
      <c r="AG219" s="16"/>
      <c r="AH219" s="16">
        <f t="shared" si="204"/>
        <v>0</v>
      </c>
      <c r="AI219" s="16"/>
      <c r="AJ219" s="16"/>
      <c r="AK219" s="16"/>
      <c r="AL219" s="16"/>
      <c r="AZ219" s="2">
        <f t="shared" si="205"/>
        <v>702904277.33383167</v>
      </c>
    </row>
    <row r="220" spans="1:52" x14ac:dyDescent="0.2">
      <c r="A220" s="250"/>
      <c r="B220" s="14" t="s">
        <v>9</v>
      </c>
      <c r="C220" s="2">
        <f t="shared" si="192"/>
        <v>118717690.08607945</v>
      </c>
      <c r="D220" s="2">
        <f t="shared" si="193"/>
        <v>51012787.032336079</v>
      </c>
      <c r="E220" s="2">
        <f t="shared" si="194"/>
        <v>67770901.717610136</v>
      </c>
      <c r="F220" s="4">
        <f t="shared" si="195"/>
        <v>-65998.663866765797</v>
      </c>
      <c r="G220" s="1">
        <f t="shared" si="206"/>
        <v>1</v>
      </c>
      <c r="H220" s="1">
        <f t="shared" si="196"/>
        <v>0</v>
      </c>
      <c r="I220" s="29">
        <f t="shared" si="207"/>
        <v>0.03</v>
      </c>
      <c r="J220" s="2">
        <f t="shared" si="197"/>
        <v>2033127.0515283039</v>
      </c>
      <c r="K220" s="2"/>
      <c r="L220" s="2"/>
      <c r="M220" s="2"/>
      <c r="N220" s="2"/>
      <c r="O220" s="16">
        <f t="shared" si="198"/>
        <v>0</v>
      </c>
      <c r="P220" s="16">
        <f t="shared" si="199"/>
        <v>8.7825496086375632E-2</v>
      </c>
      <c r="Q220" s="2">
        <f t="shared" si="208"/>
        <v>0</v>
      </c>
      <c r="R220" s="2"/>
      <c r="S220" s="16">
        <f t="shared" si="200"/>
        <v>0</v>
      </c>
      <c r="T220" s="16"/>
      <c r="U220" s="2">
        <f t="shared" si="201"/>
        <v>0</v>
      </c>
      <c r="V220" s="2"/>
      <c r="W220" s="2"/>
      <c r="X220" s="2"/>
      <c r="Y220" s="2"/>
      <c r="Z220" s="2"/>
      <c r="AA220" s="2"/>
      <c r="AB220" s="2">
        <f t="shared" si="202"/>
        <v>2033127.0515283039</v>
      </c>
      <c r="AC220" s="2"/>
      <c r="AD220" s="16">
        <f t="shared" si="203"/>
        <v>0.03</v>
      </c>
      <c r="AE220" s="16"/>
      <c r="AF220" s="16"/>
      <c r="AG220" s="16"/>
      <c r="AH220" s="16" t="e">
        <f t="shared" si="204"/>
        <v>#DIV/0!</v>
      </c>
      <c r="AI220" s="16"/>
      <c r="AJ220" s="16"/>
      <c r="AK220" s="16"/>
      <c r="AL220" s="16"/>
      <c r="AZ220" s="2">
        <f t="shared" si="205"/>
        <v>69804028.76913844</v>
      </c>
    </row>
    <row r="221" spans="1:52" x14ac:dyDescent="0.2">
      <c r="A221" s="250"/>
      <c r="B221" s="14" t="s">
        <v>10</v>
      </c>
      <c r="C221" s="2">
        <f t="shared" si="192"/>
        <v>1581757825.2693131</v>
      </c>
      <c r="D221" s="2">
        <f t="shared" si="193"/>
        <v>1022306244.8717765</v>
      </c>
      <c r="E221" s="2">
        <f t="shared" si="194"/>
        <v>491500713.54964864</v>
      </c>
      <c r="F221" s="4">
        <f t="shared" si="195"/>
        <v>67950866.847888112</v>
      </c>
      <c r="G221" s="1">
        <f t="shared" si="206"/>
        <v>0.95704091627533527</v>
      </c>
      <c r="H221" s="1">
        <f t="shared" si="196"/>
        <v>4.2959083724664782E-2</v>
      </c>
      <c r="I221" s="29">
        <f t="shared" si="207"/>
        <v>0.03</v>
      </c>
      <c r="J221" s="2">
        <f t="shared" si="197"/>
        <v>14745021.406489458</v>
      </c>
      <c r="K221" s="2"/>
      <c r="L221" s="2"/>
      <c r="M221" s="2"/>
      <c r="N221" s="2"/>
      <c r="O221" s="16">
        <f t="shared" si="198"/>
        <v>6.9990467230579376E-2</v>
      </c>
      <c r="P221" s="16">
        <f t="shared" si="199"/>
        <v>8.4052593246840807E-2</v>
      </c>
      <c r="Q221" s="2">
        <f t="shared" si="208"/>
        <v>8907479.1714484505</v>
      </c>
      <c r="R221" s="2"/>
      <c r="S221" s="16">
        <f t="shared" si="200"/>
        <v>0.15909345956612003</v>
      </c>
      <c r="T221" s="16"/>
      <c r="U221" s="2">
        <f t="shared" si="201"/>
        <v>20247352.724911358</v>
      </c>
      <c r="V221" s="2"/>
      <c r="W221" s="2"/>
      <c r="X221" s="2"/>
      <c r="Y221" s="2"/>
      <c r="Z221" s="2"/>
      <c r="AA221" s="2"/>
      <c r="AB221" s="2">
        <f t="shared" si="202"/>
        <v>43899853.302849263</v>
      </c>
      <c r="AC221" s="2"/>
      <c r="AD221" s="16">
        <f t="shared" si="203"/>
        <v>8.9317984883077378E-2</v>
      </c>
      <c r="AE221" s="16"/>
      <c r="AF221" s="16"/>
      <c r="AG221" s="16"/>
      <c r="AH221" s="16">
        <f t="shared" si="204"/>
        <v>0</v>
      </c>
      <c r="AI221" s="16"/>
      <c r="AJ221" s="16"/>
      <c r="AK221" s="16"/>
      <c r="AL221" s="16"/>
      <c r="AZ221" s="2">
        <f t="shared" si="205"/>
        <v>535400566.85249794</v>
      </c>
    </row>
    <row r="222" spans="1:52" x14ac:dyDescent="0.2">
      <c r="A222" s="250"/>
      <c r="B222" s="14" t="s">
        <v>11</v>
      </c>
      <c r="C222" s="2">
        <f t="shared" si="192"/>
        <v>252156670.37955847</v>
      </c>
      <c r="D222" s="2">
        <f t="shared" si="193"/>
        <v>88799834.611460432</v>
      </c>
      <c r="E222" s="2">
        <f t="shared" si="194"/>
        <v>154486676.51203105</v>
      </c>
      <c r="F222" s="4">
        <f t="shared" si="195"/>
        <v>8870159.2560669929</v>
      </c>
      <c r="G222" s="1">
        <f t="shared" si="206"/>
        <v>0.96482282525893448</v>
      </c>
      <c r="H222" s="1">
        <f t="shared" si="196"/>
        <v>3.5177174741065534E-2</v>
      </c>
      <c r="I222" s="29">
        <f t="shared" si="207"/>
        <v>0.03</v>
      </c>
      <c r="J222" s="2">
        <f t="shared" si="197"/>
        <v>4634600.2953609312</v>
      </c>
      <c r="K222" s="2"/>
      <c r="L222" s="2"/>
      <c r="M222" s="2"/>
      <c r="N222" s="2"/>
      <c r="O222" s="16">
        <f t="shared" si="198"/>
        <v>5.7311904317114797E-2</v>
      </c>
      <c r="P222" s="16">
        <f t="shared" si="199"/>
        <v>8.4736043263824432E-2</v>
      </c>
      <c r="Q222" s="2">
        <f t="shared" si="208"/>
        <v>7293916.0742979459</v>
      </c>
      <c r="R222" s="2"/>
      <c r="S222" s="16">
        <f t="shared" si="200"/>
        <v>2.0767716269303172E-2</v>
      </c>
      <c r="T222" s="16"/>
      <c r="U222" s="2">
        <f t="shared" si="201"/>
        <v>2643045.6521734209</v>
      </c>
      <c r="V222" s="2"/>
      <c r="W222" s="2"/>
      <c r="X222" s="2"/>
      <c r="Y222" s="2"/>
      <c r="Z222" s="2"/>
      <c r="AA222" s="2"/>
      <c r="AB222" s="2">
        <f t="shared" si="202"/>
        <v>14571562.021832297</v>
      </c>
      <c r="AC222" s="2"/>
      <c r="AD222" s="16">
        <f t="shared" si="203"/>
        <v>9.4322451300177329E-2</v>
      </c>
      <c r="AE222" s="16"/>
      <c r="AF222" s="16"/>
      <c r="AG222" s="16"/>
      <c r="AH222" s="16">
        <f t="shared" si="204"/>
        <v>0</v>
      </c>
      <c r="AI222" s="16"/>
      <c r="AJ222" s="16"/>
      <c r="AK222" s="16"/>
      <c r="AL222" s="16"/>
      <c r="AZ222" s="2">
        <f t="shared" si="205"/>
        <v>169058238.53386334</v>
      </c>
    </row>
    <row r="223" spans="1:52" x14ac:dyDescent="0.2">
      <c r="A223" s="250"/>
      <c r="B223" s="15" t="s">
        <v>14</v>
      </c>
      <c r="C223" s="30">
        <f>SUM(C211:C222)</f>
        <v>5729316162.5604</v>
      </c>
      <c r="D223" s="30">
        <f>SUM(D211:D222)</f>
        <v>2474046964.6626358</v>
      </c>
      <c r="E223" s="30">
        <f>SUM(E211:E222)</f>
        <v>2828156310.7105489</v>
      </c>
      <c r="F223" s="30">
        <f>SUM(F211:F222)</f>
        <v>427112887.18721586</v>
      </c>
      <c r="G223" s="1">
        <f>1-H223</f>
        <v>0.92545133222385456</v>
      </c>
      <c r="H223" s="11">
        <f t="shared" si="196"/>
        <v>7.4548667776145466E-2</v>
      </c>
      <c r="J223" s="30">
        <f>SUM(J211:J222)</f>
        <v>84844689.321316466</v>
      </c>
      <c r="K223" s="30"/>
      <c r="L223" s="30"/>
      <c r="M223" s="30"/>
      <c r="N223" s="30"/>
      <c r="O223" s="16"/>
      <c r="P223" s="16"/>
      <c r="Q223" s="30">
        <f>SUM(Q211:Q222)</f>
        <v>127267033.98197497</v>
      </c>
      <c r="R223" s="30"/>
      <c r="S223" s="30"/>
      <c r="T223" s="30"/>
      <c r="U223" s="30">
        <f>SUM(U211:U222)</f>
        <v>127330522.85069589</v>
      </c>
      <c r="V223" s="30"/>
      <c r="W223" s="30"/>
      <c r="X223" s="30"/>
      <c r="Y223" s="30"/>
      <c r="Z223" s="30"/>
      <c r="AA223" s="30"/>
      <c r="AB223" s="30">
        <f>SUM(AB211:AB222)</f>
        <v>339442246.15398723</v>
      </c>
      <c r="AC223" s="30"/>
      <c r="AD223" s="16">
        <f t="shared" si="203"/>
        <v>0.12002244885421677</v>
      </c>
      <c r="AE223" s="16"/>
      <c r="AF223" s="16"/>
      <c r="AG223" s="16"/>
      <c r="AH223" s="16">
        <f t="shared" si="204"/>
        <v>0</v>
      </c>
      <c r="AI223" s="16"/>
      <c r="AJ223" s="16"/>
      <c r="AK223" s="16"/>
      <c r="AL223" s="16"/>
      <c r="AZ223" s="3">
        <f>SUM(AZ211:AZ222)</f>
        <v>3167598556.8645358</v>
      </c>
    </row>
    <row r="224" spans="1:52" x14ac:dyDescent="0.2">
      <c r="G224" s="21">
        <f>SUM(G211:G222)</f>
        <v>11.386215217236103</v>
      </c>
      <c r="H224" s="21">
        <f>SUM(H211:H222)</f>
        <v>0.61378478276389659</v>
      </c>
      <c r="I224" s="10" t="s">
        <v>30</v>
      </c>
      <c r="J224" s="17">
        <f>C206-SUM(J211:J222)</f>
        <v>254534067.96394992</v>
      </c>
      <c r="K224" s="17"/>
      <c r="L224" s="17"/>
      <c r="M224" s="17"/>
      <c r="N224" s="17"/>
    </row>
    <row r="227" spans="1:52" x14ac:dyDescent="0.2">
      <c r="A227" s="250">
        <v>9</v>
      </c>
      <c r="B227" t="s">
        <v>34</v>
      </c>
      <c r="C227" s="4">
        <f>AZ223</f>
        <v>3167598556.8645358</v>
      </c>
      <c r="D227" s="4"/>
    </row>
    <row r="228" spans="1:52" x14ac:dyDescent="0.2">
      <c r="A228" s="250"/>
      <c r="B228" t="s">
        <v>27</v>
      </c>
      <c r="C228" s="6">
        <f>C227*(1+C229)</f>
        <v>3547710383.6882806</v>
      </c>
      <c r="D228" s="6"/>
    </row>
    <row r="229" spans="1:52" x14ac:dyDescent="0.2">
      <c r="A229" s="250"/>
      <c r="B229" t="s">
        <v>28</v>
      </c>
      <c r="C229" s="20">
        <f>C4</f>
        <v>0.12</v>
      </c>
      <c r="D229" s="20"/>
    </row>
    <row r="230" spans="1:52" x14ac:dyDescent="0.2">
      <c r="A230" s="250"/>
      <c r="B230" t="s">
        <v>16</v>
      </c>
      <c r="C230" s="20">
        <f>C5</f>
        <v>0.03</v>
      </c>
      <c r="D230" s="20"/>
    </row>
    <row r="231" spans="1:52" x14ac:dyDescent="0.2">
      <c r="A231" s="250"/>
      <c r="B231" t="s">
        <v>31</v>
      </c>
      <c r="C231" s="6">
        <f>C228-C227</f>
        <v>380111826.82374477</v>
      </c>
      <c r="D231" s="6"/>
    </row>
    <row r="232" spans="1:52" x14ac:dyDescent="0.2">
      <c r="A232" s="250"/>
      <c r="B232" t="s">
        <v>48</v>
      </c>
      <c r="C232" s="20">
        <f>((1+$C$5)^A227)-1</f>
        <v>0.30477318382924445</v>
      </c>
      <c r="D232" s="20"/>
    </row>
    <row r="233" spans="1:52" ht="21" x14ac:dyDescent="0.25">
      <c r="A233" s="250"/>
      <c r="F233" s="6"/>
      <c r="G233" s="6"/>
      <c r="I233" s="251" t="s">
        <v>18</v>
      </c>
      <c r="J233" s="251"/>
      <c r="K233" s="251"/>
      <c r="L233" s="251"/>
      <c r="M233" s="251"/>
      <c r="N233" s="251"/>
      <c r="O233" s="251"/>
      <c r="P233" s="251"/>
      <c r="Q233" s="251"/>
      <c r="R233" s="251"/>
      <c r="S233" s="251"/>
      <c r="T233" s="251"/>
      <c r="U233" s="251"/>
      <c r="V233" s="251"/>
      <c r="W233" s="251"/>
      <c r="X233" s="251"/>
      <c r="Y233" s="251"/>
      <c r="Z233" s="251"/>
      <c r="AA233" s="251"/>
      <c r="AB233" s="251"/>
      <c r="AC233" s="251"/>
      <c r="AD233" s="251"/>
      <c r="AE233" s="107"/>
      <c r="AF233" s="107"/>
      <c r="AG233" s="107"/>
      <c r="AH233" s="107"/>
      <c r="AI233" s="107"/>
      <c r="AJ233" s="107"/>
      <c r="AK233" s="107"/>
      <c r="AL233" s="107"/>
    </row>
    <row r="234" spans="1:52" x14ac:dyDescent="0.2">
      <c r="A234" s="250" t="s">
        <v>51</v>
      </c>
      <c r="I234" s="255" t="s">
        <v>19</v>
      </c>
      <c r="J234" s="255"/>
      <c r="K234" s="255"/>
      <c r="L234" s="255"/>
      <c r="M234" s="255"/>
      <c r="N234" s="255"/>
      <c r="O234" s="255"/>
      <c r="P234" s="255"/>
      <c r="Q234" s="255"/>
      <c r="R234" s="255"/>
      <c r="S234" s="255"/>
      <c r="T234" s="255"/>
      <c r="U234" s="255"/>
      <c r="V234" s="255"/>
      <c r="W234" s="255"/>
      <c r="X234" s="255"/>
      <c r="Y234" s="255"/>
      <c r="Z234" s="255"/>
      <c r="AA234" s="255"/>
      <c r="AB234" s="255"/>
      <c r="AC234" s="255"/>
      <c r="AD234" s="255"/>
      <c r="AE234" s="115"/>
      <c r="AF234" s="115"/>
      <c r="AG234" s="115"/>
      <c r="AH234" s="115"/>
      <c r="AI234" s="115"/>
      <c r="AJ234" s="115"/>
      <c r="AK234" s="115"/>
      <c r="AL234" s="115"/>
    </row>
    <row r="235" spans="1:52" ht="49" thickBot="1" x14ac:dyDescent="0.25">
      <c r="A235" s="250"/>
      <c r="B235" s="22" t="s">
        <v>12</v>
      </c>
      <c r="C235" s="13" t="s">
        <v>15</v>
      </c>
      <c r="D235" s="13" t="s">
        <v>63</v>
      </c>
      <c r="E235" s="13" t="s">
        <v>29</v>
      </c>
      <c r="F235" s="13" t="s">
        <v>13</v>
      </c>
      <c r="G235" s="13" t="s">
        <v>50</v>
      </c>
      <c r="H235" s="13" t="s">
        <v>17</v>
      </c>
      <c r="I235" s="28" t="s">
        <v>20</v>
      </c>
      <c r="J235" s="28" t="s">
        <v>21</v>
      </c>
      <c r="K235" s="28"/>
      <c r="L235" s="28"/>
      <c r="M235" s="28"/>
      <c r="N235" s="28"/>
      <c r="O235" s="28" t="s">
        <v>22</v>
      </c>
      <c r="P235" s="28" t="s">
        <v>49</v>
      </c>
      <c r="Q235" s="28" t="s">
        <v>23</v>
      </c>
      <c r="R235" s="28"/>
      <c r="S235" s="28" t="s">
        <v>71</v>
      </c>
      <c r="T235" s="28"/>
      <c r="U235" s="28" t="s">
        <v>72</v>
      </c>
      <c r="V235" s="28"/>
      <c r="W235" s="28"/>
      <c r="X235" s="28"/>
      <c r="Y235" s="28"/>
      <c r="Z235" s="28"/>
      <c r="AA235" s="28"/>
      <c r="AB235" s="28" t="s">
        <v>24</v>
      </c>
      <c r="AC235" s="28"/>
      <c r="AD235" s="28" t="s">
        <v>25</v>
      </c>
      <c r="AE235" s="116"/>
      <c r="AF235" s="116"/>
      <c r="AG235" s="116"/>
      <c r="AH235" s="28" t="s">
        <v>25</v>
      </c>
      <c r="AI235" s="116"/>
      <c r="AJ235" s="116"/>
      <c r="AK235" s="116"/>
      <c r="AL235" s="116"/>
      <c r="AZ235" s="28" t="s">
        <v>32</v>
      </c>
    </row>
    <row r="236" spans="1:52" ht="16" thickTop="1" x14ac:dyDescent="0.2">
      <c r="A236" s="250"/>
      <c r="B236" s="14" t="s">
        <v>0</v>
      </c>
      <c r="C236" s="2">
        <f t="shared" ref="C236:C247" si="209">VLOOKUP($B236,$B$10:$Q$23,2,FALSE)*(1+$C$232)</f>
        <v>103019890.88104358</v>
      </c>
      <c r="D236" s="2">
        <f t="shared" ref="D236:D247" si="210">VLOOKUP($B236,$B$10:$Q$23,3,FALSE)*(1+$C$232)</f>
        <v>16741102.783148825</v>
      </c>
      <c r="E236" s="2">
        <f t="shared" ref="E236:E247" si="211">AZ211</f>
        <v>86430272.602704391</v>
      </c>
      <c r="F236" s="4">
        <f t="shared" ref="F236:F247" si="212">C236-E236-D236</f>
        <v>-151484.5048096329</v>
      </c>
      <c r="G236" s="1">
        <f>1-H236</f>
        <v>1</v>
      </c>
      <c r="H236" s="1">
        <f t="shared" ref="H236:H248" si="213">MAX(0,F236/C236)</f>
        <v>0</v>
      </c>
      <c r="I236" s="29">
        <f>MIN($C$5,($C$4*0.5))*$C$8</f>
        <v>0.03</v>
      </c>
      <c r="J236" s="2">
        <f t="shared" ref="J236:J247" si="214">I236*E236</f>
        <v>2592908.1780811315</v>
      </c>
      <c r="K236" s="2"/>
      <c r="L236" s="2"/>
      <c r="M236" s="2"/>
      <c r="N236" s="2"/>
      <c r="O236" s="16">
        <f t="shared" ref="O236:O247" si="215">H236/$H$249</f>
        <v>0</v>
      </c>
      <c r="P236" s="16">
        <f t="shared" ref="P236:P247" si="216">G236/$G$249</f>
        <v>8.4770046875020627E-2</v>
      </c>
      <c r="Q236" s="2">
        <f>$J$249*IF($J$249&lt;0,P236,O236)*0.5</f>
        <v>0</v>
      </c>
      <c r="R236" s="2"/>
      <c r="S236" s="16">
        <f t="shared" ref="S236:S247" si="217">MAX(F236,0)/$F$248</f>
        <v>0</v>
      </c>
      <c r="T236" s="16"/>
      <c r="U236" s="2">
        <f t="shared" ref="U236:U247" si="218">S236*$J$249*0.5</f>
        <v>0</v>
      </c>
      <c r="V236" s="2"/>
      <c r="W236" s="2"/>
      <c r="X236" s="2"/>
      <c r="Y236" s="2"/>
      <c r="Z236" s="2"/>
      <c r="AA236" s="2"/>
      <c r="AB236" s="2">
        <f t="shared" ref="AB236:AB247" si="219">J236+Q236+U236</f>
        <v>2592908.1780811315</v>
      </c>
      <c r="AC236" s="2"/>
      <c r="AD236" s="16">
        <f t="shared" ref="AD236:AD248" si="220">AB236/E236</f>
        <v>0.03</v>
      </c>
      <c r="AE236" s="16"/>
      <c r="AF236" s="16"/>
      <c r="AG236" s="16"/>
      <c r="AH236" s="16" t="e">
        <f t="shared" ref="AH236:AH248" si="221">AG236/H236</f>
        <v>#DIV/0!</v>
      </c>
      <c r="AI236" s="16"/>
      <c r="AJ236" s="16"/>
      <c r="AK236" s="16"/>
      <c r="AL236" s="16"/>
      <c r="AZ236" s="2">
        <f t="shared" ref="AZ236:AZ247" si="222">AB236+E236</f>
        <v>89023180.780785516</v>
      </c>
    </row>
    <row r="237" spans="1:52" x14ac:dyDescent="0.2">
      <c r="A237" s="250"/>
      <c r="B237" s="14" t="s">
        <v>1</v>
      </c>
      <c r="C237" s="2">
        <f t="shared" si="209"/>
        <v>219648825.06210008</v>
      </c>
      <c r="D237" s="2">
        <f t="shared" si="210"/>
        <v>74336844.458135232</v>
      </c>
      <c r="E237" s="2">
        <f t="shared" si="211"/>
        <v>146551771.96782732</v>
      </c>
      <c r="F237" s="4">
        <f t="shared" si="212"/>
        <v>-1239791.3638624698</v>
      </c>
      <c r="G237" s="1">
        <f t="shared" ref="G237:G247" si="223">1-H237</f>
        <v>1</v>
      </c>
      <c r="H237" s="1">
        <f t="shared" si="213"/>
        <v>0</v>
      </c>
      <c r="I237" s="29">
        <f t="shared" ref="I237:I247" si="224">MIN($C$5,($C$4*0.5))*$C$8</f>
        <v>0.03</v>
      </c>
      <c r="J237" s="2">
        <f t="shared" si="214"/>
        <v>4396553.1590348193</v>
      </c>
      <c r="K237" s="2"/>
      <c r="L237" s="2"/>
      <c r="M237" s="2"/>
      <c r="N237" s="2"/>
      <c r="O237" s="16">
        <f t="shared" si="215"/>
        <v>0</v>
      </c>
      <c r="P237" s="16">
        <f t="shared" si="216"/>
        <v>8.4770046875020627E-2</v>
      </c>
      <c r="Q237" s="2">
        <f t="shared" ref="Q237:Q247" si="225">$J$249*IF($J$249&lt;0,P237,O237)*0.5</f>
        <v>0</v>
      </c>
      <c r="R237" s="2"/>
      <c r="S237" s="16">
        <f t="shared" si="217"/>
        <v>0</v>
      </c>
      <c r="T237" s="16"/>
      <c r="U237" s="2">
        <f t="shared" si="218"/>
        <v>0</v>
      </c>
      <c r="V237" s="2"/>
      <c r="W237" s="2"/>
      <c r="X237" s="2"/>
      <c r="Y237" s="2"/>
      <c r="Z237" s="2"/>
      <c r="AA237" s="2"/>
      <c r="AB237" s="2">
        <f t="shared" si="219"/>
        <v>4396553.1590348193</v>
      </c>
      <c r="AC237" s="2"/>
      <c r="AD237" s="16">
        <f t="shared" si="220"/>
        <v>0.03</v>
      </c>
      <c r="AE237" s="16"/>
      <c r="AF237" s="16"/>
      <c r="AG237" s="16"/>
      <c r="AH237" s="16" t="e">
        <f t="shared" si="221"/>
        <v>#DIV/0!</v>
      </c>
      <c r="AI237" s="16"/>
      <c r="AJ237" s="16"/>
      <c r="AK237" s="16"/>
      <c r="AL237" s="16"/>
      <c r="AZ237" s="2">
        <f t="shared" si="222"/>
        <v>150948325.12686214</v>
      </c>
    </row>
    <row r="238" spans="1:52" x14ac:dyDescent="0.2">
      <c r="A238" s="250"/>
      <c r="B238" s="14" t="s">
        <v>2</v>
      </c>
      <c r="C238" s="2">
        <f t="shared" si="209"/>
        <v>151555590.04636919</v>
      </c>
      <c r="D238" s="2">
        <f t="shared" si="210"/>
        <v>34610924.398605168</v>
      </c>
      <c r="E238" s="2">
        <f t="shared" si="211"/>
        <v>117558715.88542777</v>
      </c>
      <c r="F238" s="4">
        <f t="shared" si="212"/>
        <v>-614050.23766374588</v>
      </c>
      <c r="G238" s="1">
        <f t="shared" si="223"/>
        <v>1</v>
      </c>
      <c r="H238" s="1">
        <f t="shared" si="213"/>
        <v>0</v>
      </c>
      <c r="I238" s="29">
        <f t="shared" si="224"/>
        <v>0.03</v>
      </c>
      <c r="J238" s="2">
        <f t="shared" si="214"/>
        <v>3526761.4765628329</v>
      </c>
      <c r="K238" s="2"/>
      <c r="L238" s="2"/>
      <c r="M238" s="2"/>
      <c r="N238" s="2"/>
      <c r="O238" s="16">
        <f t="shared" si="215"/>
        <v>0</v>
      </c>
      <c r="P238" s="16">
        <f t="shared" si="216"/>
        <v>8.4770046875020627E-2</v>
      </c>
      <c r="Q238" s="2">
        <f t="shared" si="225"/>
        <v>0</v>
      </c>
      <c r="R238" s="2"/>
      <c r="S238" s="16">
        <f t="shared" si="217"/>
        <v>0</v>
      </c>
      <c r="T238" s="16"/>
      <c r="U238" s="2">
        <f t="shared" si="218"/>
        <v>0</v>
      </c>
      <c r="V238" s="2"/>
      <c r="W238" s="2"/>
      <c r="X238" s="2"/>
      <c r="Y238" s="2"/>
      <c r="Z238" s="2"/>
      <c r="AA238" s="2"/>
      <c r="AB238" s="2">
        <f t="shared" si="219"/>
        <v>3526761.4765628329</v>
      </c>
      <c r="AC238" s="2"/>
      <c r="AD238" s="16">
        <f t="shared" si="220"/>
        <v>0.03</v>
      </c>
      <c r="AE238" s="16"/>
      <c r="AF238" s="16"/>
      <c r="AG238" s="16"/>
      <c r="AH238" s="16" t="e">
        <f t="shared" si="221"/>
        <v>#DIV/0!</v>
      </c>
      <c r="AI238" s="16"/>
      <c r="AJ238" s="16"/>
      <c r="AK238" s="16"/>
      <c r="AL238" s="16"/>
      <c r="AZ238" s="2">
        <f t="shared" si="222"/>
        <v>121085477.3619906</v>
      </c>
    </row>
    <row r="239" spans="1:52" x14ac:dyDescent="0.2">
      <c r="A239" s="250"/>
      <c r="B239" s="14" t="s">
        <v>3</v>
      </c>
      <c r="C239" s="2">
        <f t="shared" si="209"/>
        <v>624529017.22676229</v>
      </c>
      <c r="D239" s="2">
        <f t="shared" si="210"/>
        <v>246897981.94877347</v>
      </c>
      <c r="E239" s="2">
        <f t="shared" si="211"/>
        <v>348834272.66282833</v>
      </c>
      <c r="F239" s="4">
        <f t="shared" si="212"/>
        <v>28796762.615160495</v>
      </c>
      <c r="G239" s="1">
        <f t="shared" si="223"/>
        <v>0.95389043291689912</v>
      </c>
      <c r="H239" s="1">
        <f t="shared" si="213"/>
        <v>4.6109567083100933E-2</v>
      </c>
      <c r="I239" s="29">
        <f t="shared" si="224"/>
        <v>0.03</v>
      </c>
      <c r="J239" s="2">
        <f t="shared" si="214"/>
        <v>10465028.179884849</v>
      </c>
      <c r="K239" s="2"/>
      <c r="L239" s="2"/>
      <c r="M239" s="2"/>
      <c r="N239" s="2"/>
      <c r="O239" s="16">
        <f t="shared" si="215"/>
        <v>0.22671593011917454</v>
      </c>
      <c r="P239" s="16">
        <f t="shared" si="216"/>
        <v>8.0861336711999257E-2</v>
      </c>
      <c r="Q239" s="2">
        <f t="shared" si="225"/>
        <v>32316527.387866475</v>
      </c>
      <c r="R239" s="2"/>
      <c r="S239" s="16">
        <f t="shared" si="217"/>
        <v>0.15538208587391697</v>
      </c>
      <c r="T239" s="16"/>
      <c r="U239" s="2">
        <f t="shared" si="218"/>
        <v>22148463.193956971</v>
      </c>
      <c r="V239" s="2"/>
      <c r="W239" s="2"/>
      <c r="X239" s="2"/>
      <c r="Y239" s="2"/>
      <c r="Z239" s="2"/>
      <c r="AA239" s="2"/>
      <c r="AB239" s="2">
        <f t="shared" si="219"/>
        <v>64930018.761708297</v>
      </c>
      <c r="AC239" s="2"/>
      <c r="AD239" s="16">
        <f t="shared" si="220"/>
        <v>0.18613428739689092</v>
      </c>
      <c r="AE239" s="16"/>
      <c r="AF239" s="16"/>
      <c r="AG239" s="16"/>
      <c r="AH239" s="16">
        <f t="shared" si="221"/>
        <v>0</v>
      </c>
      <c r="AI239" s="16"/>
      <c r="AJ239" s="16"/>
      <c r="AK239" s="16"/>
      <c r="AL239" s="16"/>
      <c r="AZ239" s="2">
        <f t="shared" si="222"/>
        <v>413764291.42453665</v>
      </c>
    </row>
    <row r="240" spans="1:52" x14ac:dyDescent="0.2">
      <c r="A240" s="250"/>
      <c r="B240" s="14" t="s">
        <v>4</v>
      </c>
      <c r="C240" s="2">
        <f t="shared" si="209"/>
        <v>224816767.02644339</v>
      </c>
      <c r="D240" s="2">
        <f t="shared" si="210"/>
        <v>37958588.347878531</v>
      </c>
      <c r="E240" s="2">
        <f t="shared" si="211"/>
        <v>188725936.93462083</v>
      </c>
      <c r="F240" s="4">
        <f t="shared" si="212"/>
        <v>-1867758.256055966</v>
      </c>
      <c r="G240" s="1">
        <f t="shared" si="223"/>
        <v>1</v>
      </c>
      <c r="H240" s="1">
        <f t="shared" si="213"/>
        <v>0</v>
      </c>
      <c r="I240" s="29">
        <f t="shared" si="224"/>
        <v>0.03</v>
      </c>
      <c r="J240" s="2">
        <f t="shared" si="214"/>
        <v>5661778.1080386247</v>
      </c>
      <c r="K240" s="2"/>
      <c r="L240" s="2"/>
      <c r="M240" s="2"/>
      <c r="N240" s="2"/>
      <c r="O240" s="16">
        <f t="shared" si="215"/>
        <v>0</v>
      </c>
      <c r="P240" s="16">
        <f t="shared" si="216"/>
        <v>8.4770046875020627E-2</v>
      </c>
      <c r="Q240" s="2">
        <f t="shared" si="225"/>
        <v>0</v>
      </c>
      <c r="R240" s="2"/>
      <c r="S240" s="16">
        <f t="shared" si="217"/>
        <v>0</v>
      </c>
      <c r="T240" s="16"/>
      <c r="U240" s="2">
        <f t="shared" si="218"/>
        <v>0</v>
      </c>
      <c r="V240" s="2"/>
      <c r="W240" s="2"/>
      <c r="X240" s="2"/>
      <c r="Y240" s="2"/>
      <c r="Z240" s="2"/>
      <c r="AA240" s="2"/>
      <c r="AB240" s="2">
        <f t="shared" si="219"/>
        <v>5661778.1080386247</v>
      </c>
      <c r="AC240" s="2"/>
      <c r="AD240" s="16">
        <f t="shared" si="220"/>
        <v>0.03</v>
      </c>
      <c r="AE240" s="16"/>
      <c r="AF240" s="16"/>
      <c r="AG240" s="16"/>
      <c r="AH240" s="16" t="e">
        <f t="shared" si="221"/>
        <v>#DIV/0!</v>
      </c>
      <c r="AI240" s="16"/>
      <c r="AJ240" s="16"/>
      <c r="AK240" s="16"/>
      <c r="AL240" s="16"/>
      <c r="AZ240" s="2">
        <f t="shared" si="222"/>
        <v>194387715.04265946</v>
      </c>
    </row>
    <row r="241" spans="1:52" x14ac:dyDescent="0.2">
      <c r="A241" s="250"/>
      <c r="B241" s="14" t="s">
        <v>5</v>
      </c>
      <c r="C241" s="2">
        <f t="shared" si="209"/>
        <v>532465487.56851345</v>
      </c>
      <c r="D241" s="2">
        <f t="shared" si="210"/>
        <v>169403758.68463209</v>
      </c>
      <c r="E241" s="2">
        <f t="shared" si="211"/>
        <v>344379501.81740713</v>
      </c>
      <c r="F241" s="4">
        <f t="shared" si="212"/>
        <v>18682227.066474229</v>
      </c>
      <c r="G241" s="1">
        <f t="shared" si="223"/>
        <v>0.9649137314950007</v>
      </c>
      <c r="H241" s="1">
        <f t="shared" si="213"/>
        <v>3.5086268504999296E-2</v>
      </c>
      <c r="I241" s="29">
        <f t="shared" si="224"/>
        <v>0.03</v>
      </c>
      <c r="J241" s="2">
        <f t="shared" si="214"/>
        <v>10331385.054522214</v>
      </c>
      <c r="K241" s="2"/>
      <c r="L241" s="2"/>
      <c r="M241" s="2"/>
      <c r="N241" s="2"/>
      <c r="O241" s="16">
        <f t="shared" si="215"/>
        <v>0.17251552121896557</v>
      </c>
      <c r="P241" s="16">
        <f t="shared" si="216"/>
        <v>8.1795782249182283E-2</v>
      </c>
      <c r="Q241" s="2">
        <f t="shared" si="225"/>
        <v>24590696.222246826</v>
      </c>
      <c r="R241" s="2"/>
      <c r="S241" s="16">
        <f t="shared" si="217"/>
        <v>0.1008058943692041</v>
      </c>
      <c r="T241" s="16"/>
      <c r="U241" s="2">
        <f t="shared" si="218"/>
        <v>14369067.248729862</v>
      </c>
      <c r="V241" s="2"/>
      <c r="W241" s="2"/>
      <c r="X241" s="2"/>
      <c r="Y241" s="2"/>
      <c r="Z241" s="2"/>
      <c r="AA241" s="2"/>
      <c r="AB241" s="2">
        <f t="shared" si="219"/>
        <v>49291148.525498904</v>
      </c>
      <c r="AC241" s="2"/>
      <c r="AD241" s="16">
        <f t="shared" si="220"/>
        <v>0.14313032066476908</v>
      </c>
      <c r="AE241" s="16"/>
      <c r="AF241" s="16"/>
      <c r="AG241" s="16"/>
      <c r="AH241" s="16">
        <f t="shared" si="221"/>
        <v>0</v>
      </c>
      <c r="AI241" s="16"/>
      <c r="AJ241" s="16"/>
      <c r="AK241" s="16"/>
      <c r="AL241" s="16"/>
      <c r="AZ241" s="2">
        <f t="shared" si="222"/>
        <v>393670650.34290606</v>
      </c>
    </row>
    <row r="242" spans="1:52" x14ac:dyDescent="0.2">
      <c r="A242" s="250"/>
      <c r="B242" s="14" t="s">
        <v>6</v>
      </c>
      <c r="C242" s="2">
        <f t="shared" si="209"/>
        <v>388295630.09525019</v>
      </c>
      <c r="D242" s="2">
        <f t="shared" si="210"/>
        <v>173843223.96230108</v>
      </c>
      <c r="E242" s="2">
        <f t="shared" si="211"/>
        <v>213307654.45082667</v>
      </c>
      <c r="F242" s="4">
        <f t="shared" si="212"/>
        <v>1144751.6821224391</v>
      </c>
      <c r="G242" s="1">
        <f t="shared" si="223"/>
        <v>0.9970518553560811</v>
      </c>
      <c r="H242" s="1">
        <f t="shared" si="213"/>
        <v>2.9481446439189331E-3</v>
      </c>
      <c r="I242" s="29">
        <f t="shared" si="224"/>
        <v>0.03</v>
      </c>
      <c r="J242" s="2">
        <f t="shared" si="214"/>
        <v>6399229.6335247997</v>
      </c>
      <c r="K242" s="2"/>
      <c r="L242" s="2"/>
      <c r="M242" s="2"/>
      <c r="N242" s="2"/>
      <c r="O242" s="16">
        <f t="shared" si="215"/>
        <v>1.4495719594749951E-2</v>
      </c>
      <c r="P242" s="16">
        <f t="shared" si="216"/>
        <v>8.4520132515361279E-2</v>
      </c>
      <c r="Q242" s="2">
        <f t="shared" si="225"/>
        <v>2066247.9211069348</v>
      </c>
      <c r="R242" s="2"/>
      <c r="S242" s="16">
        <f t="shared" si="217"/>
        <v>6.1768715654937998E-3</v>
      </c>
      <c r="T242" s="16"/>
      <c r="U242" s="2">
        <f t="shared" si="218"/>
        <v>880463.22555581003</v>
      </c>
      <c r="V242" s="2"/>
      <c r="W242" s="2"/>
      <c r="X242" s="2"/>
      <c r="Y242" s="2"/>
      <c r="Z242" s="2"/>
      <c r="AA242" s="2"/>
      <c r="AB242" s="2">
        <f t="shared" si="219"/>
        <v>9345940.7801875435</v>
      </c>
      <c r="AC242" s="2"/>
      <c r="AD242" s="16">
        <f t="shared" si="220"/>
        <v>4.3814371332567638E-2</v>
      </c>
      <c r="AE242" s="16"/>
      <c r="AF242" s="16"/>
      <c r="AG242" s="16"/>
      <c r="AH242" s="16">
        <f t="shared" si="221"/>
        <v>0</v>
      </c>
      <c r="AI242" s="16"/>
      <c r="AJ242" s="16"/>
      <c r="AK242" s="16"/>
      <c r="AL242" s="16"/>
      <c r="AZ242" s="2">
        <f t="shared" si="222"/>
        <v>222653595.23101422</v>
      </c>
    </row>
    <row r="243" spans="1:52" x14ac:dyDescent="0.2">
      <c r="A243" s="250"/>
      <c r="B243" s="14" t="s">
        <v>7</v>
      </c>
      <c r="C243" s="2">
        <f t="shared" si="209"/>
        <v>431013061.35609591</v>
      </c>
      <c r="D243" s="2">
        <f t="shared" si="210"/>
        <v>178794074.29690748</v>
      </c>
      <c r="E243" s="2">
        <f t="shared" si="211"/>
        <v>244643319.05356199</v>
      </c>
      <c r="F243" s="4">
        <f t="shared" si="212"/>
        <v>7575668.00562644</v>
      </c>
      <c r="G243" s="1">
        <f t="shared" si="223"/>
        <v>0.9824235767199464</v>
      </c>
      <c r="H243" s="1">
        <f t="shared" si="213"/>
        <v>1.7576423280053564E-2</v>
      </c>
      <c r="I243" s="29">
        <f t="shared" si="224"/>
        <v>0.03</v>
      </c>
      <c r="J243" s="2">
        <f t="shared" si="214"/>
        <v>7339299.5716068596</v>
      </c>
      <c r="K243" s="2"/>
      <c r="L243" s="2"/>
      <c r="M243" s="2"/>
      <c r="N243" s="2"/>
      <c r="O243" s="16">
        <f t="shared" si="215"/>
        <v>8.6421439284475474E-2</v>
      </c>
      <c r="P243" s="16">
        <f t="shared" si="216"/>
        <v>8.3280092649675286E-2</v>
      </c>
      <c r="Q243" s="2">
        <f t="shared" si="225"/>
        <v>12318679.186184749</v>
      </c>
      <c r="R243" s="2"/>
      <c r="S243" s="16">
        <f t="shared" si="217"/>
        <v>4.0876924685374821E-2</v>
      </c>
      <c r="T243" s="16"/>
      <c r="U243" s="2">
        <f t="shared" si="218"/>
        <v>5826675.9439104218</v>
      </c>
      <c r="V243" s="2"/>
      <c r="W243" s="2"/>
      <c r="X243" s="2"/>
      <c r="Y243" s="2"/>
      <c r="Z243" s="2"/>
      <c r="AA243" s="2"/>
      <c r="AB243" s="2">
        <f t="shared" si="219"/>
        <v>25484654.701702029</v>
      </c>
      <c r="AC243" s="2"/>
      <c r="AD243" s="16">
        <f t="shared" si="220"/>
        <v>0.10417065465058721</v>
      </c>
      <c r="AE243" s="16"/>
      <c r="AF243" s="16"/>
      <c r="AG243" s="16"/>
      <c r="AH243" s="16">
        <f t="shared" si="221"/>
        <v>0</v>
      </c>
      <c r="AI243" s="16"/>
      <c r="AJ243" s="16"/>
      <c r="AK243" s="16"/>
      <c r="AL243" s="16"/>
      <c r="AZ243" s="2">
        <f t="shared" si="222"/>
        <v>270127973.75526404</v>
      </c>
    </row>
    <row r="244" spans="1:52" x14ac:dyDescent="0.2">
      <c r="A244" s="250"/>
      <c r="B244" s="14" t="s">
        <v>8</v>
      </c>
      <c r="C244" s="2">
        <f t="shared" si="209"/>
        <v>1214640226.8676345</v>
      </c>
      <c r="D244" s="2">
        <f t="shared" si="210"/>
        <v>418699442.21109295</v>
      </c>
      <c r="E244" s="2">
        <f t="shared" si="211"/>
        <v>702904277.33383167</v>
      </c>
      <c r="F244" s="4">
        <f t="shared" si="212"/>
        <v>93036507.322709918</v>
      </c>
      <c r="G244" s="1">
        <f t="shared" si="223"/>
        <v>0.92340406215374871</v>
      </c>
      <c r="H244" s="1">
        <f t="shared" si="213"/>
        <v>7.6595937846251308E-2</v>
      </c>
      <c r="I244" s="29">
        <f t="shared" si="224"/>
        <v>0.03</v>
      </c>
      <c r="J244" s="2">
        <f t="shared" si="214"/>
        <v>21087128.32001495</v>
      </c>
      <c r="K244" s="2"/>
      <c r="L244" s="2"/>
      <c r="M244" s="2"/>
      <c r="N244" s="2"/>
      <c r="O244" s="16">
        <f t="shared" si="215"/>
        <v>0.3766142341103822</v>
      </c>
      <c r="P244" s="16">
        <f t="shared" si="216"/>
        <v>7.8277005633357738E-2</v>
      </c>
      <c r="Q244" s="2">
        <f t="shared" si="225"/>
        <v>53683321.700821102</v>
      </c>
      <c r="R244" s="2"/>
      <c r="S244" s="16">
        <f t="shared" si="217"/>
        <v>0.50200804734265259</v>
      </c>
      <c r="T244" s="16"/>
      <c r="U244" s="2">
        <f t="shared" si="218"/>
        <v>71557198.483363762</v>
      </c>
      <c r="V244" s="2"/>
      <c r="W244" s="2"/>
      <c r="X244" s="2"/>
      <c r="Y244" s="2"/>
      <c r="Z244" s="2"/>
      <c r="AA244" s="2"/>
      <c r="AB244" s="2">
        <f t="shared" si="219"/>
        <v>146327648.5041998</v>
      </c>
      <c r="AC244" s="2"/>
      <c r="AD244" s="16">
        <f t="shared" si="220"/>
        <v>0.20817578327909952</v>
      </c>
      <c r="AE244" s="16"/>
      <c r="AF244" s="16"/>
      <c r="AG244" s="16"/>
      <c r="AH244" s="16">
        <f t="shared" si="221"/>
        <v>0</v>
      </c>
      <c r="AI244" s="16"/>
      <c r="AJ244" s="16"/>
      <c r="AK244" s="16"/>
      <c r="AL244" s="16"/>
      <c r="AZ244" s="2">
        <f t="shared" si="222"/>
        <v>849231925.83803153</v>
      </c>
    </row>
    <row r="245" spans="1:52" x14ac:dyDescent="0.2">
      <c r="A245" s="250"/>
      <c r="B245" s="14" t="s">
        <v>9</v>
      </c>
      <c r="C245" s="2">
        <f t="shared" si="209"/>
        <v>122279220.78866182</v>
      </c>
      <c r="D245" s="2">
        <f t="shared" si="210"/>
        <v>52543170.643306158</v>
      </c>
      <c r="E245" s="2">
        <f t="shared" si="211"/>
        <v>69804028.76913844</v>
      </c>
      <c r="F245" s="4">
        <f t="shared" si="212"/>
        <v>-67978.623782776296</v>
      </c>
      <c r="G245" s="1">
        <f t="shared" si="223"/>
        <v>1</v>
      </c>
      <c r="H245" s="1">
        <f t="shared" si="213"/>
        <v>0</v>
      </c>
      <c r="I245" s="29">
        <f t="shared" si="224"/>
        <v>0.03</v>
      </c>
      <c r="J245" s="2">
        <f t="shared" si="214"/>
        <v>2094120.8630741532</v>
      </c>
      <c r="K245" s="2"/>
      <c r="L245" s="2"/>
      <c r="M245" s="2"/>
      <c r="N245" s="2"/>
      <c r="O245" s="16">
        <f t="shared" si="215"/>
        <v>0</v>
      </c>
      <c r="P245" s="16">
        <f t="shared" si="216"/>
        <v>8.4770046875020627E-2</v>
      </c>
      <c r="Q245" s="2">
        <f t="shared" si="225"/>
        <v>0</v>
      </c>
      <c r="R245" s="2"/>
      <c r="S245" s="16">
        <f t="shared" si="217"/>
        <v>0</v>
      </c>
      <c r="T245" s="16"/>
      <c r="U245" s="2">
        <f t="shared" si="218"/>
        <v>0</v>
      </c>
      <c r="V245" s="2"/>
      <c r="W245" s="2"/>
      <c r="X245" s="2"/>
      <c r="Y245" s="2"/>
      <c r="Z245" s="2"/>
      <c r="AA245" s="2"/>
      <c r="AB245" s="2">
        <f t="shared" si="219"/>
        <v>2094120.8630741532</v>
      </c>
      <c r="AC245" s="2"/>
      <c r="AD245" s="16">
        <f t="shared" si="220"/>
        <v>0.03</v>
      </c>
      <c r="AE245" s="16"/>
      <c r="AF245" s="16"/>
      <c r="AG245" s="16"/>
      <c r="AH245" s="16" t="e">
        <f t="shared" si="221"/>
        <v>#DIV/0!</v>
      </c>
      <c r="AI245" s="16"/>
      <c r="AJ245" s="16"/>
      <c r="AK245" s="16"/>
      <c r="AL245" s="16"/>
      <c r="AZ245" s="2">
        <f t="shared" si="222"/>
        <v>71898149.632212594</v>
      </c>
    </row>
    <row r="246" spans="1:52" x14ac:dyDescent="0.2">
      <c r="A246" s="250"/>
      <c r="B246" s="14" t="s">
        <v>10</v>
      </c>
      <c r="C246" s="2">
        <f t="shared" si="209"/>
        <v>1629210560.0273926</v>
      </c>
      <c r="D246" s="2">
        <f t="shared" si="210"/>
        <v>1052975432.2179298</v>
      </c>
      <c r="E246" s="2">
        <f t="shared" si="211"/>
        <v>535400566.85249794</v>
      </c>
      <c r="F246" s="4">
        <f t="shared" si="212"/>
        <v>40834560.95696497</v>
      </c>
      <c r="G246" s="1">
        <f t="shared" si="223"/>
        <v>0.97493598313266616</v>
      </c>
      <c r="H246" s="1">
        <f t="shared" si="213"/>
        <v>2.5064016867333835E-2</v>
      </c>
      <c r="I246" s="29">
        <f t="shared" si="224"/>
        <v>0.03</v>
      </c>
      <c r="J246" s="2">
        <f t="shared" si="214"/>
        <v>16062017.005574938</v>
      </c>
      <c r="K246" s="2"/>
      <c r="L246" s="2"/>
      <c r="M246" s="2"/>
      <c r="N246" s="2"/>
      <c r="O246" s="16">
        <f t="shared" si="215"/>
        <v>0.12323715567225228</v>
      </c>
      <c r="P246" s="16">
        <f t="shared" si="216"/>
        <v>8.2645368990300436E-2</v>
      </c>
      <c r="Q246" s="2">
        <f t="shared" si="225"/>
        <v>17566462.640678272</v>
      </c>
      <c r="R246" s="2"/>
      <c r="S246" s="16">
        <f t="shared" si="217"/>
        <v>0.22033585309684872</v>
      </c>
      <c r="T246" s="16"/>
      <c r="U246" s="2">
        <f t="shared" si="218"/>
        <v>31407098.863279298</v>
      </c>
      <c r="V246" s="2"/>
      <c r="W246" s="2"/>
      <c r="X246" s="2"/>
      <c r="Y246" s="2"/>
      <c r="Z246" s="2"/>
      <c r="AA246" s="2"/>
      <c r="AB246" s="2">
        <f t="shared" si="219"/>
        <v>65035578.509532511</v>
      </c>
      <c r="AC246" s="2"/>
      <c r="AD246" s="16">
        <f t="shared" si="220"/>
        <v>0.12147088093660857</v>
      </c>
      <c r="AE246" s="16"/>
      <c r="AF246" s="16"/>
      <c r="AG246" s="16"/>
      <c r="AH246" s="16">
        <f t="shared" si="221"/>
        <v>0</v>
      </c>
      <c r="AI246" s="16"/>
      <c r="AJ246" s="16"/>
      <c r="AK246" s="16"/>
      <c r="AL246" s="16"/>
      <c r="AZ246" s="2">
        <f t="shared" si="222"/>
        <v>600436145.36203051</v>
      </c>
    </row>
    <row r="247" spans="1:52" x14ac:dyDescent="0.2">
      <c r="A247" s="250"/>
      <c r="B247" s="14" t="s">
        <v>11</v>
      </c>
      <c r="C247" s="2">
        <f t="shared" si="209"/>
        <v>259721370.49094522</v>
      </c>
      <c r="D247" s="2">
        <f t="shared" si="210"/>
        <v>91463829.649804249</v>
      </c>
      <c r="E247" s="2">
        <f t="shared" si="211"/>
        <v>169058238.53386334</v>
      </c>
      <c r="F247" s="4">
        <f t="shared" si="212"/>
        <v>-800697.69272236526</v>
      </c>
      <c r="G247" s="1">
        <f t="shared" si="223"/>
        <v>1</v>
      </c>
      <c r="H247" s="1">
        <f t="shared" si="213"/>
        <v>0</v>
      </c>
      <c r="I247" s="29">
        <f t="shared" si="224"/>
        <v>0.03</v>
      </c>
      <c r="J247" s="2">
        <f t="shared" si="214"/>
        <v>5071747.1560159</v>
      </c>
      <c r="K247" s="2"/>
      <c r="L247" s="2"/>
      <c r="M247" s="2"/>
      <c r="N247" s="2"/>
      <c r="O247" s="16">
        <f t="shared" si="215"/>
        <v>0</v>
      </c>
      <c r="P247" s="16">
        <f t="shared" si="216"/>
        <v>8.4770046875020627E-2</v>
      </c>
      <c r="Q247" s="2">
        <f t="shared" si="225"/>
        <v>0</v>
      </c>
      <c r="R247" s="2"/>
      <c r="S247" s="16">
        <f t="shared" si="217"/>
        <v>0</v>
      </c>
      <c r="T247" s="16"/>
      <c r="U247" s="2">
        <f t="shared" si="218"/>
        <v>0</v>
      </c>
      <c r="V247" s="2"/>
      <c r="W247" s="2"/>
      <c r="X247" s="2"/>
      <c r="Y247" s="2"/>
      <c r="Z247" s="2"/>
      <c r="AA247" s="2"/>
      <c r="AB247" s="2">
        <f t="shared" si="219"/>
        <v>5071747.1560159</v>
      </c>
      <c r="AC247" s="2"/>
      <c r="AD247" s="16">
        <f t="shared" si="220"/>
        <v>0.03</v>
      </c>
      <c r="AE247" s="16"/>
      <c r="AF247" s="16"/>
      <c r="AG247" s="16"/>
      <c r="AH247" s="16" t="e">
        <f t="shared" si="221"/>
        <v>#DIV/0!</v>
      </c>
      <c r="AI247" s="16"/>
      <c r="AJ247" s="16"/>
      <c r="AK247" s="16"/>
      <c r="AL247" s="16"/>
      <c r="AZ247" s="2">
        <f t="shared" si="222"/>
        <v>174129985.68987924</v>
      </c>
    </row>
    <row r="248" spans="1:52" x14ac:dyDescent="0.2">
      <c r="A248" s="250"/>
      <c r="B248" s="15" t="s">
        <v>14</v>
      </c>
      <c r="C248" s="30">
        <f>SUM(C236:C247)</f>
        <v>5901195647.437212</v>
      </c>
      <c r="D248" s="30">
        <f>SUM(D236:D247)</f>
        <v>2548268373.6025152</v>
      </c>
      <c r="E248" s="30">
        <f>SUM(E236:E247)</f>
        <v>3167598556.8645358</v>
      </c>
      <c r="F248" s="30">
        <f>SUM(F236:F247)</f>
        <v>185328716.97016156</v>
      </c>
      <c r="G248" s="1">
        <f>1-H248</f>
        <v>0.96859471740262559</v>
      </c>
      <c r="H248" s="11">
        <f t="shared" si="213"/>
        <v>3.140528259737442E-2</v>
      </c>
      <c r="J248" s="30">
        <f>SUM(J236:J247)</f>
        <v>95027956.705936074</v>
      </c>
      <c r="K248" s="30"/>
      <c r="L248" s="30"/>
      <c r="M248" s="30"/>
      <c r="N248" s="30"/>
      <c r="O248" s="16"/>
      <c r="P248" s="16"/>
      <c r="Q248" s="30">
        <f>SUM(Q236:Q247)</f>
        <v>142541935.05890435</v>
      </c>
      <c r="R248" s="30"/>
      <c r="S248" s="30"/>
      <c r="T248" s="30"/>
      <c r="U248" s="30">
        <f>SUM(U236:U247)</f>
        <v>146188966.95879614</v>
      </c>
      <c r="V248" s="30"/>
      <c r="W248" s="30"/>
      <c r="X248" s="30"/>
      <c r="Y248" s="30"/>
      <c r="Z248" s="30"/>
      <c r="AA248" s="30"/>
      <c r="AB248" s="30">
        <f>SUM(AB236:AB247)</f>
        <v>383758858.72363651</v>
      </c>
      <c r="AC248" s="30"/>
      <c r="AD248" s="16">
        <f t="shared" si="220"/>
        <v>0.12115135546200723</v>
      </c>
      <c r="AE248" s="16"/>
      <c r="AF248" s="16"/>
      <c r="AG248" s="16"/>
      <c r="AH248" s="16">
        <f t="shared" si="221"/>
        <v>0</v>
      </c>
      <c r="AI248" s="16"/>
      <c r="AJ248" s="16"/>
      <c r="AK248" s="16"/>
      <c r="AL248" s="16"/>
      <c r="AZ248" s="3">
        <f>SUM(AZ236:AZ247)</f>
        <v>3551357415.5881729</v>
      </c>
    </row>
    <row r="249" spans="1:52" x14ac:dyDescent="0.2">
      <c r="C249" s="30"/>
      <c r="D249" s="30"/>
      <c r="E249" s="30"/>
      <c r="F249" s="30"/>
      <c r="G249" s="21">
        <f>SUM(G236:G247)</f>
        <v>11.796619641774342</v>
      </c>
      <c r="H249" s="21">
        <f>SUM(H236:H247)</f>
        <v>0.20338035822565786</v>
      </c>
      <c r="I249" s="10" t="s">
        <v>30</v>
      </c>
      <c r="J249" s="17">
        <f>C231-SUM(J236:J247)</f>
        <v>285083870.1178087</v>
      </c>
      <c r="K249" s="17"/>
      <c r="L249" s="17"/>
      <c r="M249" s="17"/>
      <c r="N249" s="17"/>
    </row>
    <row r="252" spans="1:52" x14ac:dyDescent="0.2">
      <c r="A252" s="250">
        <v>10</v>
      </c>
      <c r="B252" t="s">
        <v>34</v>
      </c>
      <c r="C252" s="4">
        <f>AZ248</f>
        <v>3551357415.5881729</v>
      </c>
      <c r="D252" s="4"/>
    </row>
    <row r="253" spans="1:52" x14ac:dyDescent="0.2">
      <c r="A253" s="250"/>
      <c r="B253" t="s">
        <v>27</v>
      </c>
      <c r="C253" s="6">
        <f>C252*(1+C254)</f>
        <v>3977520305.4587541</v>
      </c>
      <c r="D253" s="6"/>
    </row>
    <row r="254" spans="1:52" x14ac:dyDescent="0.2">
      <c r="A254" s="250"/>
      <c r="B254" t="s">
        <v>28</v>
      </c>
      <c r="C254" s="20">
        <f>C4</f>
        <v>0.12</v>
      </c>
      <c r="D254" s="20"/>
    </row>
    <row r="255" spans="1:52" x14ac:dyDescent="0.2">
      <c r="A255" s="250"/>
      <c r="B255" t="s">
        <v>16</v>
      </c>
      <c r="C255" s="20">
        <f>C5</f>
        <v>0.03</v>
      </c>
      <c r="D255" s="20"/>
    </row>
    <row r="256" spans="1:52" x14ac:dyDescent="0.2">
      <c r="A256" s="250"/>
      <c r="B256" t="s">
        <v>31</v>
      </c>
      <c r="C256" s="6">
        <f>C253-C252</f>
        <v>426162889.87058115</v>
      </c>
      <c r="D256" s="6"/>
    </row>
    <row r="257" spans="1:52" x14ac:dyDescent="0.2">
      <c r="A257" s="250"/>
      <c r="B257" t="s">
        <v>48</v>
      </c>
      <c r="C257" s="20">
        <f>((1+$C$5)^A252)-1</f>
        <v>0.34391637934412178</v>
      </c>
      <c r="D257" s="20"/>
    </row>
    <row r="258" spans="1:52" ht="21" x14ac:dyDescent="0.25">
      <c r="A258" s="250"/>
      <c r="F258" s="6"/>
      <c r="G258" s="6"/>
      <c r="I258" s="251" t="s">
        <v>18</v>
      </c>
      <c r="J258" s="251"/>
      <c r="K258" s="251"/>
      <c r="L258" s="251"/>
      <c r="M258" s="251"/>
      <c r="N258" s="251"/>
      <c r="O258" s="251"/>
      <c r="P258" s="251"/>
      <c r="Q258" s="251"/>
      <c r="R258" s="251"/>
      <c r="S258" s="251"/>
      <c r="T258" s="251"/>
      <c r="U258" s="251"/>
      <c r="V258" s="251"/>
      <c r="W258" s="251"/>
      <c r="X258" s="251"/>
      <c r="Y258" s="251"/>
      <c r="Z258" s="251"/>
      <c r="AA258" s="251"/>
      <c r="AB258" s="251"/>
      <c r="AC258" s="251"/>
      <c r="AD258" s="251"/>
      <c r="AE258" s="107"/>
      <c r="AF258" s="107"/>
      <c r="AG258" s="107"/>
      <c r="AH258" s="107"/>
      <c r="AI258" s="107"/>
      <c r="AJ258" s="107"/>
      <c r="AK258" s="107"/>
      <c r="AL258" s="107"/>
    </row>
    <row r="259" spans="1:52" x14ac:dyDescent="0.2">
      <c r="A259" s="250" t="s">
        <v>51</v>
      </c>
      <c r="I259" s="255" t="s">
        <v>19</v>
      </c>
      <c r="J259" s="255"/>
      <c r="K259" s="255"/>
      <c r="L259" s="255"/>
      <c r="M259" s="255"/>
      <c r="N259" s="255"/>
      <c r="O259" s="255"/>
      <c r="P259" s="255"/>
      <c r="Q259" s="255"/>
      <c r="R259" s="255"/>
      <c r="S259" s="255"/>
      <c r="T259" s="255"/>
      <c r="U259" s="255"/>
      <c r="V259" s="255"/>
      <c r="W259" s="255"/>
      <c r="X259" s="255"/>
      <c r="Y259" s="255"/>
      <c r="Z259" s="255"/>
      <c r="AA259" s="255"/>
      <c r="AB259" s="255"/>
      <c r="AC259" s="255"/>
      <c r="AD259" s="255"/>
      <c r="AE259" s="115"/>
      <c r="AF259" s="115"/>
      <c r="AG259" s="115"/>
      <c r="AH259" s="115"/>
      <c r="AI259" s="115"/>
      <c r="AJ259" s="115"/>
      <c r="AK259" s="115"/>
      <c r="AL259" s="115"/>
    </row>
    <row r="260" spans="1:52" ht="49" thickBot="1" x14ac:dyDescent="0.25">
      <c r="A260" s="250"/>
      <c r="B260" s="22" t="s">
        <v>12</v>
      </c>
      <c r="C260" s="13" t="s">
        <v>15</v>
      </c>
      <c r="D260" s="13" t="s">
        <v>63</v>
      </c>
      <c r="E260" s="13" t="s">
        <v>29</v>
      </c>
      <c r="F260" s="13" t="s">
        <v>13</v>
      </c>
      <c r="G260" s="13" t="s">
        <v>50</v>
      </c>
      <c r="H260" s="13" t="s">
        <v>17</v>
      </c>
      <c r="I260" s="28" t="s">
        <v>20</v>
      </c>
      <c r="J260" s="28" t="s">
        <v>21</v>
      </c>
      <c r="K260" s="28"/>
      <c r="L260" s="28"/>
      <c r="M260" s="28"/>
      <c r="N260" s="28"/>
      <c r="O260" s="28" t="s">
        <v>22</v>
      </c>
      <c r="P260" s="28" t="s">
        <v>49</v>
      </c>
      <c r="Q260" s="28" t="s">
        <v>23</v>
      </c>
      <c r="R260" s="28"/>
      <c r="S260" s="28" t="s">
        <v>71</v>
      </c>
      <c r="T260" s="28"/>
      <c r="U260" s="28" t="s">
        <v>72</v>
      </c>
      <c r="V260" s="28"/>
      <c r="W260" s="28"/>
      <c r="X260" s="28"/>
      <c r="Y260" s="28"/>
      <c r="Z260" s="28"/>
      <c r="AA260" s="28"/>
      <c r="AB260" s="28" t="s">
        <v>24</v>
      </c>
      <c r="AC260" s="28"/>
      <c r="AD260" s="28" t="s">
        <v>25</v>
      </c>
      <c r="AE260" s="116"/>
      <c r="AF260" s="116"/>
      <c r="AG260" s="116"/>
      <c r="AH260" s="28" t="s">
        <v>25</v>
      </c>
      <c r="AI260" s="116"/>
      <c r="AJ260" s="116"/>
      <c r="AK260" s="116"/>
      <c r="AL260" s="116"/>
      <c r="AZ260" s="28" t="s">
        <v>32</v>
      </c>
    </row>
    <row r="261" spans="1:52" ht="16" thickTop="1" x14ac:dyDescent="0.2">
      <c r="A261" s="250"/>
      <c r="B261" s="14" t="s">
        <v>0</v>
      </c>
      <c r="C261" s="2">
        <f t="shared" ref="C261:C272" si="226">VLOOKUP($B261,$B$10:$Q$23,2,FALSE)*(1+$C$257)</f>
        <v>106110487.60747488</v>
      </c>
      <c r="D261" s="2">
        <f t="shared" ref="D261:D272" si="227">VLOOKUP($B261,$B$10:$Q$23,3,FALSE)*(1+$C$257)</f>
        <v>17243335.866643291</v>
      </c>
      <c r="E261" s="2">
        <f t="shared" ref="E261:E272" si="228">AZ236</f>
        <v>89023180.780785516</v>
      </c>
      <c r="F261" s="4">
        <f t="shared" ref="F261:F272" si="229">C261-E261-D261</f>
        <v>-156029.03995392844</v>
      </c>
      <c r="G261" s="1">
        <f>1-H261</f>
        <v>1</v>
      </c>
      <c r="H261" s="1">
        <f t="shared" ref="H261:H273" si="230">MAX(0,F261/C261)</f>
        <v>0</v>
      </c>
      <c r="I261" s="29">
        <f>MIN($C$5,($C$4*0.5))*$C$8</f>
        <v>0.03</v>
      </c>
      <c r="J261" s="2">
        <f t="shared" ref="J261:J272" si="231">I261*E261</f>
        <v>2670695.4234235655</v>
      </c>
      <c r="K261" s="2"/>
      <c r="L261" s="2"/>
      <c r="M261" s="2"/>
      <c r="N261" s="2"/>
      <c r="O261" s="16" t="e">
        <f t="shared" ref="O261:O272" si="232">H261/$H$274</f>
        <v>#DIV/0!</v>
      </c>
      <c r="P261" s="16">
        <f t="shared" ref="P261:P272" si="233">G261/$G$274</f>
        <v>8.3333333333333329E-2</v>
      </c>
      <c r="Q261" s="2" t="e">
        <f>$J$274*IF($J$274&lt;0,P261,O261)*0.5</f>
        <v>#DIV/0!</v>
      </c>
      <c r="R261" s="2"/>
      <c r="S261" s="16">
        <f t="shared" ref="S261:S272" si="234">MAX(F261,0)/$F$273</f>
        <v>0</v>
      </c>
      <c r="T261" s="16"/>
      <c r="U261" s="2">
        <f t="shared" ref="U261:U272" si="235">S261*$J$274*0.5</f>
        <v>0</v>
      </c>
      <c r="V261" s="2"/>
      <c r="W261" s="2"/>
      <c r="X261" s="2"/>
      <c r="Y261" s="2"/>
      <c r="Z261" s="2"/>
      <c r="AA261" s="2"/>
      <c r="AB261" s="2" t="e">
        <f t="shared" ref="AB261:AB272" si="236">J261+Q261+U261</f>
        <v>#DIV/0!</v>
      </c>
      <c r="AC261" s="2"/>
      <c r="AD261" s="16" t="e">
        <f t="shared" ref="AD261:AD273" si="237">AB261/E261</f>
        <v>#DIV/0!</v>
      </c>
      <c r="AE261" s="16"/>
      <c r="AF261" s="16"/>
      <c r="AG261" s="16"/>
      <c r="AH261" s="16" t="e">
        <f t="shared" ref="AH261:AH273" si="238">AG261/H261</f>
        <v>#DIV/0!</v>
      </c>
      <c r="AI261" s="16"/>
      <c r="AJ261" s="16"/>
      <c r="AK261" s="16"/>
      <c r="AL261" s="16"/>
      <c r="AZ261" s="2" t="e">
        <f t="shared" ref="AZ261:AZ272" si="239">AB261+E261</f>
        <v>#DIV/0!</v>
      </c>
    </row>
    <row r="262" spans="1:52" x14ac:dyDescent="0.2">
      <c r="A262" s="250"/>
      <c r="B262" s="14" t="s">
        <v>1</v>
      </c>
      <c r="C262" s="2">
        <f t="shared" si="226"/>
        <v>226238289.81396309</v>
      </c>
      <c r="D262" s="2">
        <f t="shared" si="227"/>
        <v>76566949.791879296</v>
      </c>
      <c r="E262" s="2">
        <f t="shared" si="228"/>
        <v>150948325.12686214</v>
      </c>
      <c r="F262" s="4">
        <f t="shared" si="229"/>
        <v>-1276985.1047783494</v>
      </c>
      <c r="G262" s="1">
        <f t="shared" ref="G262:G272" si="240">1-H262</f>
        <v>1</v>
      </c>
      <c r="H262" s="1">
        <f t="shared" si="230"/>
        <v>0</v>
      </c>
      <c r="I262" s="29">
        <f t="shared" ref="I262:I272" si="241">MIN($C$5,($C$4*0.5))*$C$8</f>
        <v>0.03</v>
      </c>
      <c r="J262" s="2">
        <f t="shared" si="231"/>
        <v>4528449.7538058637</v>
      </c>
      <c r="K262" s="2"/>
      <c r="L262" s="2"/>
      <c r="M262" s="2"/>
      <c r="N262" s="2"/>
      <c r="O262" s="16" t="e">
        <f t="shared" si="232"/>
        <v>#DIV/0!</v>
      </c>
      <c r="P262" s="16">
        <f t="shared" si="233"/>
        <v>8.3333333333333329E-2</v>
      </c>
      <c r="Q262" s="2" t="e">
        <f t="shared" ref="Q262:Q272" si="242">$J$274*IF($J$274&lt;0,P262,O262)*0.5</f>
        <v>#DIV/0!</v>
      </c>
      <c r="R262" s="2"/>
      <c r="S262" s="16">
        <f t="shared" si="234"/>
        <v>0</v>
      </c>
      <c r="T262" s="16"/>
      <c r="U262" s="2">
        <f t="shared" si="235"/>
        <v>0</v>
      </c>
      <c r="V262" s="2"/>
      <c r="W262" s="2"/>
      <c r="X262" s="2"/>
      <c r="Y262" s="2"/>
      <c r="Z262" s="2"/>
      <c r="AA262" s="2"/>
      <c r="AB262" s="2" t="e">
        <f t="shared" si="236"/>
        <v>#DIV/0!</v>
      </c>
      <c r="AC262" s="2"/>
      <c r="AD262" s="16" t="e">
        <f t="shared" si="237"/>
        <v>#DIV/0!</v>
      </c>
      <c r="AE262" s="16"/>
      <c r="AF262" s="16"/>
      <c r="AG262" s="16"/>
      <c r="AH262" s="16" t="e">
        <f t="shared" si="238"/>
        <v>#DIV/0!</v>
      </c>
      <c r="AI262" s="16"/>
      <c r="AJ262" s="16"/>
      <c r="AK262" s="16"/>
      <c r="AL262" s="16"/>
      <c r="AZ262" s="2" t="e">
        <f t="shared" si="239"/>
        <v>#DIV/0!</v>
      </c>
    </row>
    <row r="263" spans="1:52" x14ac:dyDescent="0.2">
      <c r="A263" s="250"/>
      <c r="B263" s="14" t="s">
        <v>2</v>
      </c>
      <c r="C263" s="2">
        <f t="shared" si="226"/>
        <v>156102257.74776027</v>
      </c>
      <c r="D263" s="2">
        <f t="shared" si="227"/>
        <v>35649252.130563326</v>
      </c>
      <c r="E263" s="2">
        <f t="shared" si="228"/>
        <v>121085477.3619906</v>
      </c>
      <c r="F263" s="4">
        <f t="shared" si="229"/>
        <v>-632471.74479366094</v>
      </c>
      <c r="G263" s="1">
        <f t="shared" si="240"/>
        <v>1</v>
      </c>
      <c r="H263" s="1">
        <f t="shared" si="230"/>
        <v>0</v>
      </c>
      <c r="I263" s="29">
        <f t="shared" si="241"/>
        <v>0.03</v>
      </c>
      <c r="J263" s="2">
        <f t="shared" si="231"/>
        <v>3632564.3208597177</v>
      </c>
      <c r="K263" s="2"/>
      <c r="L263" s="2"/>
      <c r="M263" s="2"/>
      <c r="N263" s="2"/>
      <c r="O263" s="16" t="e">
        <f t="shared" si="232"/>
        <v>#DIV/0!</v>
      </c>
      <c r="P263" s="16">
        <f t="shared" si="233"/>
        <v>8.3333333333333329E-2</v>
      </c>
      <c r="Q263" s="2" t="e">
        <f t="shared" si="242"/>
        <v>#DIV/0!</v>
      </c>
      <c r="R263" s="2"/>
      <c r="S263" s="16">
        <f t="shared" si="234"/>
        <v>0</v>
      </c>
      <c r="T263" s="16"/>
      <c r="U263" s="2">
        <f t="shared" si="235"/>
        <v>0</v>
      </c>
      <c r="V263" s="2"/>
      <c r="W263" s="2"/>
      <c r="X263" s="2"/>
      <c r="Y263" s="2"/>
      <c r="Z263" s="2"/>
      <c r="AA263" s="2"/>
      <c r="AB263" s="2" t="e">
        <f t="shared" si="236"/>
        <v>#DIV/0!</v>
      </c>
      <c r="AC263" s="2"/>
      <c r="AD263" s="16" t="e">
        <f t="shared" si="237"/>
        <v>#DIV/0!</v>
      </c>
      <c r="AE263" s="16"/>
      <c r="AF263" s="16"/>
      <c r="AG263" s="16"/>
      <c r="AH263" s="16" t="e">
        <f t="shared" si="238"/>
        <v>#DIV/0!</v>
      </c>
      <c r="AI263" s="16"/>
      <c r="AJ263" s="16"/>
      <c r="AK263" s="16"/>
      <c r="AL263" s="16"/>
      <c r="AZ263" s="2" t="e">
        <f t="shared" si="239"/>
        <v>#DIV/0!</v>
      </c>
    </row>
    <row r="264" spans="1:52" x14ac:dyDescent="0.2">
      <c r="A264" s="250"/>
      <c r="B264" s="14" t="s">
        <v>3</v>
      </c>
      <c r="C264" s="2">
        <f t="shared" si="226"/>
        <v>643264887.74356508</v>
      </c>
      <c r="D264" s="2">
        <f t="shared" si="227"/>
        <v>254304921.40723667</v>
      </c>
      <c r="E264" s="2">
        <f t="shared" si="228"/>
        <v>413764291.42453665</v>
      </c>
      <c r="F264" s="4">
        <f t="shared" si="229"/>
        <v>-24804325.088208228</v>
      </c>
      <c r="G264" s="1">
        <f t="shared" si="240"/>
        <v>1</v>
      </c>
      <c r="H264" s="1">
        <f t="shared" si="230"/>
        <v>0</v>
      </c>
      <c r="I264" s="29">
        <f t="shared" si="241"/>
        <v>0.03</v>
      </c>
      <c r="J264" s="2">
        <f t="shared" si="231"/>
        <v>12412928.742736099</v>
      </c>
      <c r="K264" s="2"/>
      <c r="L264" s="2"/>
      <c r="M264" s="2"/>
      <c r="N264" s="2"/>
      <c r="O264" s="16" t="e">
        <f t="shared" si="232"/>
        <v>#DIV/0!</v>
      </c>
      <c r="P264" s="16">
        <f t="shared" si="233"/>
        <v>8.3333333333333329E-2</v>
      </c>
      <c r="Q264" s="2" t="e">
        <f t="shared" si="242"/>
        <v>#DIV/0!</v>
      </c>
      <c r="R264" s="2"/>
      <c r="S264" s="16">
        <f t="shared" si="234"/>
        <v>0</v>
      </c>
      <c r="T264" s="16"/>
      <c r="U264" s="2">
        <f t="shared" si="235"/>
        <v>0</v>
      </c>
      <c r="V264" s="2"/>
      <c r="W264" s="2"/>
      <c r="X264" s="2"/>
      <c r="Y264" s="2"/>
      <c r="Z264" s="2"/>
      <c r="AA264" s="2"/>
      <c r="AB264" s="2" t="e">
        <f t="shared" si="236"/>
        <v>#DIV/0!</v>
      </c>
      <c r="AC264" s="2"/>
      <c r="AD264" s="16" t="e">
        <f t="shared" si="237"/>
        <v>#DIV/0!</v>
      </c>
      <c r="AE264" s="16"/>
      <c r="AF264" s="16"/>
      <c r="AG264" s="16"/>
      <c r="AH264" s="16" t="e">
        <f t="shared" si="238"/>
        <v>#DIV/0!</v>
      </c>
      <c r="AI264" s="16"/>
      <c r="AJ264" s="16"/>
      <c r="AK264" s="16"/>
      <c r="AL264" s="16"/>
      <c r="AZ264" s="2" t="e">
        <f t="shared" si="239"/>
        <v>#DIV/0!</v>
      </c>
    </row>
    <row r="265" spans="1:52" x14ac:dyDescent="0.2">
      <c r="A265" s="250"/>
      <c r="B265" s="14" t="s">
        <v>4</v>
      </c>
      <c r="C265" s="2">
        <f t="shared" si="226"/>
        <v>231561270.03723669</v>
      </c>
      <c r="D265" s="2">
        <f t="shared" si="227"/>
        <v>39097345.99831488</v>
      </c>
      <c r="E265" s="2">
        <f t="shared" si="228"/>
        <v>194387715.04265946</v>
      </c>
      <c r="F265" s="4">
        <f t="shared" si="229"/>
        <v>-1923791.0037376508</v>
      </c>
      <c r="G265" s="1">
        <f t="shared" si="240"/>
        <v>1</v>
      </c>
      <c r="H265" s="1">
        <f t="shared" si="230"/>
        <v>0</v>
      </c>
      <c r="I265" s="29">
        <f t="shared" si="241"/>
        <v>0.03</v>
      </c>
      <c r="J265" s="2">
        <f t="shared" si="231"/>
        <v>5831631.4512797836</v>
      </c>
      <c r="K265" s="2"/>
      <c r="L265" s="2"/>
      <c r="M265" s="2"/>
      <c r="N265" s="2"/>
      <c r="O265" s="16" t="e">
        <f t="shared" si="232"/>
        <v>#DIV/0!</v>
      </c>
      <c r="P265" s="16">
        <f t="shared" si="233"/>
        <v>8.3333333333333329E-2</v>
      </c>
      <c r="Q265" s="2" t="e">
        <f t="shared" si="242"/>
        <v>#DIV/0!</v>
      </c>
      <c r="R265" s="2"/>
      <c r="S265" s="16">
        <f t="shared" si="234"/>
        <v>0</v>
      </c>
      <c r="T265" s="16"/>
      <c r="U265" s="2">
        <f t="shared" si="235"/>
        <v>0</v>
      </c>
      <c r="V265" s="2"/>
      <c r="W265" s="2"/>
      <c r="X265" s="2"/>
      <c r="Y265" s="2"/>
      <c r="Z265" s="2"/>
      <c r="AA265" s="2"/>
      <c r="AB265" s="2" t="e">
        <f t="shared" si="236"/>
        <v>#DIV/0!</v>
      </c>
      <c r="AC265" s="2"/>
      <c r="AD265" s="16" t="e">
        <f t="shared" si="237"/>
        <v>#DIV/0!</v>
      </c>
      <c r="AE265" s="16"/>
      <c r="AF265" s="16"/>
      <c r="AG265" s="16"/>
      <c r="AH265" s="16" t="e">
        <f t="shared" si="238"/>
        <v>#DIV/0!</v>
      </c>
      <c r="AI265" s="16"/>
      <c r="AJ265" s="16"/>
      <c r="AK265" s="16"/>
      <c r="AL265" s="16"/>
      <c r="AZ265" s="2" t="e">
        <f t="shared" si="239"/>
        <v>#DIV/0!</v>
      </c>
    </row>
    <row r="266" spans="1:52" x14ac:dyDescent="0.2">
      <c r="A266" s="250"/>
      <c r="B266" s="14" t="s">
        <v>5</v>
      </c>
      <c r="C266" s="2">
        <f t="shared" si="226"/>
        <v>548439452.1955688</v>
      </c>
      <c r="D266" s="2">
        <f t="shared" si="227"/>
        <v>174485871.44517106</v>
      </c>
      <c r="E266" s="2">
        <f t="shared" si="228"/>
        <v>393670650.34290606</v>
      </c>
      <c r="F266" s="4">
        <f t="shared" si="229"/>
        <v>-19717069.592508316</v>
      </c>
      <c r="G266" s="1">
        <f t="shared" si="240"/>
        <v>1</v>
      </c>
      <c r="H266" s="1">
        <f t="shared" si="230"/>
        <v>0</v>
      </c>
      <c r="I266" s="29">
        <f t="shared" si="241"/>
        <v>0.03</v>
      </c>
      <c r="J266" s="2">
        <f t="shared" si="231"/>
        <v>11810119.510287181</v>
      </c>
      <c r="K266" s="2"/>
      <c r="L266" s="2"/>
      <c r="M266" s="2"/>
      <c r="N266" s="2"/>
      <c r="O266" s="16" t="e">
        <f t="shared" si="232"/>
        <v>#DIV/0!</v>
      </c>
      <c r="P266" s="16">
        <f t="shared" si="233"/>
        <v>8.3333333333333329E-2</v>
      </c>
      <c r="Q266" s="2" t="e">
        <f t="shared" si="242"/>
        <v>#DIV/0!</v>
      </c>
      <c r="R266" s="2"/>
      <c r="S266" s="16">
        <f t="shared" si="234"/>
        <v>0</v>
      </c>
      <c r="T266" s="16"/>
      <c r="U266" s="2">
        <f t="shared" si="235"/>
        <v>0</v>
      </c>
      <c r="V266" s="2"/>
      <c r="W266" s="2"/>
      <c r="X266" s="2"/>
      <c r="Y266" s="2"/>
      <c r="Z266" s="2"/>
      <c r="AA266" s="2"/>
      <c r="AB266" s="2" t="e">
        <f t="shared" si="236"/>
        <v>#DIV/0!</v>
      </c>
      <c r="AC266" s="2"/>
      <c r="AD266" s="16" t="e">
        <f t="shared" si="237"/>
        <v>#DIV/0!</v>
      </c>
      <c r="AE266" s="16"/>
      <c r="AF266" s="16"/>
      <c r="AG266" s="16"/>
      <c r="AH266" s="16" t="e">
        <f t="shared" si="238"/>
        <v>#DIV/0!</v>
      </c>
      <c r="AI266" s="16"/>
      <c r="AJ266" s="16"/>
      <c r="AK266" s="16"/>
      <c r="AL266" s="16"/>
      <c r="AZ266" s="2" t="e">
        <f t="shared" si="239"/>
        <v>#DIV/0!</v>
      </c>
    </row>
    <row r="267" spans="1:52" x14ac:dyDescent="0.2">
      <c r="A267" s="250"/>
      <c r="B267" s="14" t="s">
        <v>6</v>
      </c>
      <c r="C267" s="2">
        <f t="shared" si="226"/>
        <v>399944498.99810773</v>
      </c>
      <c r="D267" s="2">
        <f t="shared" si="227"/>
        <v>179058520.68117011</v>
      </c>
      <c r="E267" s="2">
        <f t="shared" si="228"/>
        <v>222653595.23101422</v>
      </c>
      <c r="F267" s="4">
        <f t="shared" si="229"/>
        <v>-1767616.9140765965</v>
      </c>
      <c r="G267" s="1">
        <f t="shared" si="240"/>
        <v>1</v>
      </c>
      <c r="H267" s="1">
        <f t="shared" si="230"/>
        <v>0</v>
      </c>
      <c r="I267" s="29">
        <f t="shared" si="241"/>
        <v>0.03</v>
      </c>
      <c r="J267" s="2">
        <f t="shared" si="231"/>
        <v>6679607.8569304263</v>
      </c>
      <c r="K267" s="2"/>
      <c r="L267" s="2"/>
      <c r="M267" s="2"/>
      <c r="N267" s="2"/>
      <c r="O267" s="16" t="e">
        <f t="shared" si="232"/>
        <v>#DIV/0!</v>
      </c>
      <c r="P267" s="16">
        <f t="shared" si="233"/>
        <v>8.3333333333333329E-2</v>
      </c>
      <c r="Q267" s="2" t="e">
        <f t="shared" si="242"/>
        <v>#DIV/0!</v>
      </c>
      <c r="R267" s="2"/>
      <c r="S267" s="16">
        <f t="shared" si="234"/>
        <v>0</v>
      </c>
      <c r="T267" s="16"/>
      <c r="U267" s="2">
        <f t="shared" si="235"/>
        <v>0</v>
      </c>
      <c r="V267" s="2"/>
      <c r="W267" s="2"/>
      <c r="X267" s="2"/>
      <c r="Y267" s="2"/>
      <c r="Z267" s="2"/>
      <c r="AA267" s="2"/>
      <c r="AB267" s="2" t="e">
        <f t="shared" si="236"/>
        <v>#DIV/0!</v>
      </c>
      <c r="AC267" s="2"/>
      <c r="AD267" s="16" t="e">
        <f t="shared" si="237"/>
        <v>#DIV/0!</v>
      </c>
      <c r="AE267" s="16"/>
      <c r="AF267" s="16"/>
      <c r="AG267" s="16"/>
      <c r="AH267" s="16" t="e">
        <f t="shared" si="238"/>
        <v>#DIV/0!</v>
      </c>
      <c r="AI267" s="16"/>
      <c r="AJ267" s="16"/>
      <c r="AK267" s="16"/>
      <c r="AL267" s="16"/>
      <c r="AZ267" s="2" t="e">
        <f t="shared" si="239"/>
        <v>#DIV/0!</v>
      </c>
    </row>
    <row r="268" spans="1:52" x14ac:dyDescent="0.2">
      <c r="A268" s="250"/>
      <c r="B268" s="14" t="s">
        <v>7</v>
      </c>
      <c r="C268" s="2">
        <f t="shared" si="226"/>
        <v>443943453.19677877</v>
      </c>
      <c r="D268" s="2">
        <f t="shared" si="227"/>
        <v>184157896.52581471</v>
      </c>
      <c r="E268" s="2">
        <f t="shared" si="228"/>
        <v>270127973.75526404</v>
      </c>
      <c r="F268" s="4">
        <f t="shared" si="229"/>
        <v>-10342417.084299982</v>
      </c>
      <c r="G268" s="1">
        <f t="shared" si="240"/>
        <v>1</v>
      </c>
      <c r="H268" s="1">
        <f t="shared" si="230"/>
        <v>0</v>
      </c>
      <c r="I268" s="29">
        <f t="shared" si="241"/>
        <v>0.03</v>
      </c>
      <c r="J268" s="2">
        <f t="shared" si="231"/>
        <v>8103839.212657921</v>
      </c>
      <c r="K268" s="2"/>
      <c r="L268" s="2"/>
      <c r="M268" s="2"/>
      <c r="N268" s="2"/>
      <c r="O268" s="16" t="e">
        <f t="shared" si="232"/>
        <v>#DIV/0!</v>
      </c>
      <c r="P268" s="16">
        <f t="shared" si="233"/>
        <v>8.3333333333333329E-2</v>
      </c>
      <c r="Q268" s="2" t="e">
        <f t="shared" si="242"/>
        <v>#DIV/0!</v>
      </c>
      <c r="R268" s="2"/>
      <c r="S268" s="16">
        <f t="shared" si="234"/>
        <v>0</v>
      </c>
      <c r="T268" s="16"/>
      <c r="U268" s="2">
        <f t="shared" si="235"/>
        <v>0</v>
      </c>
      <c r="V268" s="2"/>
      <c r="W268" s="2"/>
      <c r="X268" s="2"/>
      <c r="Y268" s="2"/>
      <c r="Z268" s="2"/>
      <c r="AA268" s="2"/>
      <c r="AB268" s="2" t="e">
        <f t="shared" si="236"/>
        <v>#DIV/0!</v>
      </c>
      <c r="AC268" s="2"/>
      <c r="AD268" s="16" t="e">
        <f t="shared" si="237"/>
        <v>#DIV/0!</v>
      </c>
      <c r="AE268" s="16"/>
      <c r="AF268" s="16"/>
      <c r="AG268" s="16"/>
      <c r="AH268" s="16" t="e">
        <f t="shared" si="238"/>
        <v>#DIV/0!</v>
      </c>
      <c r="AI268" s="16"/>
      <c r="AJ268" s="16"/>
      <c r="AK268" s="16"/>
      <c r="AL268" s="16"/>
      <c r="AZ268" s="2" t="e">
        <f t="shared" si="239"/>
        <v>#DIV/0!</v>
      </c>
    </row>
    <row r="269" spans="1:52" x14ac:dyDescent="0.2">
      <c r="A269" s="250"/>
      <c r="B269" s="14" t="s">
        <v>8</v>
      </c>
      <c r="C269" s="2">
        <f t="shared" si="226"/>
        <v>1251079433.6736636</v>
      </c>
      <c r="D269" s="2">
        <f t="shared" si="227"/>
        <v>431260425.47742575</v>
      </c>
      <c r="E269" s="2">
        <f t="shared" si="228"/>
        <v>849231925.83803153</v>
      </c>
      <c r="F269" s="4">
        <f t="shared" si="229"/>
        <v>-29412917.641793668</v>
      </c>
      <c r="G269" s="1">
        <f t="shared" si="240"/>
        <v>1</v>
      </c>
      <c r="H269" s="1">
        <f t="shared" si="230"/>
        <v>0</v>
      </c>
      <c r="I269" s="29">
        <f t="shared" si="241"/>
        <v>0.03</v>
      </c>
      <c r="J269" s="2">
        <f t="shared" si="231"/>
        <v>25476957.775140945</v>
      </c>
      <c r="K269" s="2"/>
      <c r="L269" s="2"/>
      <c r="M269" s="2"/>
      <c r="N269" s="2"/>
      <c r="O269" s="16" t="e">
        <f t="shared" si="232"/>
        <v>#DIV/0!</v>
      </c>
      <c r="P269" s="16">
        <f t="shared" si="233"/>
        <v>8.3333333333333329E-2</v>
      </c>
      <c r="Q269" s="2" t="e">
        <f t="shared" si="242"/>
        <v>#DIV/0!</v>
      </c>
      <c r="R269" s="2"/>
      <c r="S269" s="16">
        <f t="shared" si="234"/>
        <v>0</v>
      </c>
      <c r="T269" s="16"/>
      <c r="U269" s="2">
        <f t="shared" si="235"/>
        <v>0</v>
      </c>
      <c r="V269" s="2"/>
      <c r="W269" s="2"/>
      <c r="X269" s="2"/>
      <c r="Y269" s="2"/>
      <c r="Z269" s="2"/>
      <c r="AA269" s="2"/>
      <c r="AB269" s="2" t="e">
        <f t="shared" si="236"/>
        <v>#DIV/0!</v>
      </c>
      <c r="AC269" s="2"/>
      <c r="AD269" s="16" t="e">
        <f t="shared" si="237"/>
        <v>#DIV/0!</v>
      </c>
      <c r="AE269" s="16"/>
      <c r="AF269" s="16"/>
      <c r="AG269" s="16"/>
      <c r="AH269" s="16" t="e">
        <f t="shared" si="238"/>
        <v>#DIV/0!</v>
      </c>
      <c r="AI269" s="16"/>
      <c r="AJ269" s="16"/>
      <c r="AK269" s="16"/>
      <c r="AL269" s="16"/>
      <c r="AZ269" s="2" t="e">
        <f t="shared" si="239"/>
        <v>#DIV/0!</v>
      </c>
    </row>
    <row r="270" spans="1:52" x14ac:dyDescent="0.2">
      <c r="A270" s="250"/>
      <c r="B270" s="14" t="s">
        <v>9</v>
      </c>
      <c r="C270" s="2">
        <f t="shared" si="226"/>
        <v>125947597.41232169</v>
      </c>
      <c r="D270" s="2">
        <f t="shared" si="227"/>
        <v>54119465.762605347</v>
      </c>
      <c r="E270" s="2">
        <f t="shared" si="228"/>
        <v>71898149.632212594</v>
      </c>
      <c r="F270" s="4">
        <f t="shared" si="229"/>
        <v>-70017.982496254146</v>
      </c>
      <c r="G270" s="1">
        <f t="shared" si="240"/>
        <v>1</v>
      </c>
      <c r="H270" s="1">
        <f t="shared" si="230"/>
        <v>0</v>
      </c>
      <c r="I270" s="29">
        <f t="shared" si="241"/>
        <v>0.03</v>
      </c>
      <c r="J270" s="2">
        <f t="shared" si="231"/>
        <v>2156944.4889663779</v>
      </c>
      <c r="K270" s="2"/>
      <c r="L270" s="2"/>
      <c r="M270" s="2"/>
      <c r="N270" s="2"/>
      <c r="O270" s="16" t="e">
        <f t="shared" si="232"/>
        <v>#DIV/0!</v>
      </c>
      <c r="P270" s="16">
        <f t="shared" si="233"/>
        <v>8.3333333333333329E-2</v>
      </c>
      <c r="Q270" s="2" t="e">
        <f t="shared" si="242"/>
        <v>#DIV/0!</v>
      </c>
      <c r="R270" s="2"/>
      <c r="S270" s="16">
        <f t="shared" si="234"/>
        <v>0</v>
      </c>
      <c r="T270" s="16"/>
      <c r="U270" s="2">
        <f t="shared" si="235"/>
        <v>0</v>
      </c>
      <c r="V270" s="2"/>
      <c r="W270" s="2"/>
      <c r="X270" s="2"/>
      <c r="Y270" s="2"/>
      <c r="Z270" s="2"/>
      <c r="AA270" s="2"/>
      <c r="AB270" s="2" t="e">
        <f t="shared" si="236"/>
        <v>#DIV/0!</v>
      </c>
      <c r="AC270" s="2"/>
      <c r="AD270" s="16" t="e">
        <f t="shared" si="237"/>
        <v>#DIV/0!</v>
      </c>
      <c r="AE270" s="16"/>
      <c r="AF270" s="16"/>
      <c r="AG270" s="16"/>
      <c r="AH270" s="16" t="e">
        <f t="shared" si="238"/>
        <v>#DIV/0!</v>
      </c>
      <c r="AI270" s="16"/>
      <c r="AJ270" s="16"/>
      <c r="AK270" s="16"/>
      <c r="AL270" s="16"/>
      <c r="AZ270" s="2" t="e">
        <f t="shared" si="239"/>
        <v>#DIV/0!</v>
      </c>
    </row>
    <row r="271" spans="1:52" x14ac:dyDescent="0.2">
      <c r="A271" s="250"/>
      <c r="B271" s="14" t="s">
        <v>10</v>
      </c>
      <c r="C271" s="2">
        <f t="shared" si="226"/>
        <v>1678086876.8282144</v>
      </c>
      <c r="D271" s="2">
        <f t="shared" si="227"/>
        <v>1084564695.1844678</v>
      </c>
      <c r="E271" s="2">
        <f t="shared" si="228"/>
        <v>600436145.36203051</v>
      </c>
      <c r="F271" s="4">
        <f t="shared" si="229"/>
        <v>-6913963.7182838917</v>
      </c>
      <c r="G271" s="1">
        <f t="shared" si="240"/>
        <v>1</v>
      </c>
      <c r="H271" s="1">
        <f t="shared" si="230"/>
        <v>0</v>
      </c>
      <c r="I271" s="29">
        <f t="shared" si="241"/>
        <v>0.03</v>
      </c>
      <c r="J271" s="2">
        <f t="shared" si="231"/>
        <v>18013084.360860914</v>
      </c>
      <c r="K271" s="2"/>
      <c r="L271" s="2"/>
      <c r="M271" s="2"/>
      <c r="N271" s="2"/>
      <c r="O271" s="16" t="e">
        <f t="shared" si="232"/>
        <v>#DIV/0!</v>
      </c>
      <c r="P271" s="16">
        <f t="shared" si="233"/>
        <v>8.3333333333333329E-2</v>
      </c>
      <c r="Q271" s="2" t="e">
        <f t="shared" si="242"/>
        <v>#DIV/0!</v>
      </c>
      <c r="R271" s="2"/>
      <c r="S271" s="16">
        <f t="shared" si="234"/>
        <v>0</v>
      </c>
      <c r="T271" s="16"/>
      <c r="U271" s="2">
        <f t="shared" si="235"/>
        <v>0</v>
      </c>
      <c r="V271" s="2"/>
      <c r="W271" s="2"/>
      <c r="X271" s="2"/>
      <c r="Y271" s="2"/>
      <c r="Z271" s="2"/>
      <c r="AA271" s="2"/>
      <c r="AB271" s="2" t="e">
        <f t="shared" si="236"/>
        <v>#DIV/0!</v>
      </c>
      <c r="AC271" s="2"/>
      <c r="AD271" s="16" t="e">
        <f t="shared" si="237"/>
        <v>#DIV/0!</v>
      </c>
      <c r="AE271" s="16"/>
      <c r="AF271" s="16"/>
      <c r="AG271" s="16"/>
      <c r="AH271" s="16" t="e">
        <f t="shared" si="238"/>
        <v>#DIV/0!</v>
      </c>
      <c r="AI271" s="16"/>
      <c r="AJ271" s="16"/>
      <c r="AK271" s="16"/>
      <c r="AL271" s="16"/>
      <c r="AZ271" s="2" t="e">
        <f t="shared" si="239"/>
        <v>#DIV/0!</v>
      </c>
    </row>
    <row r="272" spans="1:52" x14ac:dyDescent="0.2">
      <c r="A272" s="250"/>
      <c r="B272" s="14" t="s">
        <v>11</v>
      </c>
      <c r="C272" s="2">
        <f t="shared" si="226"/>
        <v>267513011.60567358</v>
      </c>
      <c r="D272" s="2">
        <f t="shared" si="227"/>
        <v>94207744.53929837</v>
      </c>
      <c r="E272" s="2">
        <f t="shared" si="228"/>
        <v>174129985.68987924</v>
      </c>
      <c r="F272" s="4">
        <f t="shared" si="229"/>
        <v>-824718.62350402772</v>
      </c>
      <c r="G272" s="1">
        <f t="shared" si="240"/>
        <v>1</v>
      </c>
      <c r="H272" s="1">
        <f t="shared" si="230"/>
        <v>0</v>
      </c>
      <c r="I272" s="29">
        <f t="shared" si="241"/>
        <v>0.03</v>
      </c>
      <c r="J272" s="2">
        <f t="shared" si="231"/>
        <v>5223899.5706963772</v>
      </c>
      <c r="K272" s="2"/>
      <c r="L272" s="2"/>
      <c r="M272" s="2"/>
      <c r="N272" s="2"/>
      <c r="O272" s="16" t="e">
        <f t="shared" si="232"/>
        <v>#DIV/0!</v>
      </c>
      <c r="P272" s="16">
        <f t="shared" si="233"/>
        <v>8.3333333333333329E-2</v>
      </c>
      <c r="Q272" s="2" t="e">
        <f t="shared" si="242"/>
        <v>#DIV/0!</v>
      </c>
      <c r="R272" s="2"/>
      <c r="S272" s="16">
        <f t="shared" si="234"/>
        <v>0</v>
      </c>
      <c r="T272" s="16"/>
      <c r="U272" s="2">
        <f t="shared" si="235"/>
        <v>0</v>
      </c>
      <c r="V272" s="2"/>
      <c r="W272" s="2"/>
      <c r="X272" s="2"/>
      <c r="Y272" s="2"/>
      <c r="Z272" s="2"/>
      <c r="AA272" s="2"/>
      <c r="AB272" s="2" t="e">
        <f t="shared" si="236"/>
        <v>#DIV/0!</v>
      </c>
      <c r="AC272" s="2"/>
      <c r="AD272" s="16" t="e">
        <f t="shared" si="237"/>
        <v>#DIV/0!</v>
      </c>
      <c r="AE272" s="16"/>
      <c r="AF272" s="16"/>
      <c r="AG272" s="16"/>
      <c r="AH272" s="16" t="e">
        <f t="shared" si="238"/>
        <v>#DIV/0!</v>
      </c>
      <c r="AI272" s="16"/>
      <c r="AJ272" s="16"/>
      <c r="AK272" s="16"/>
      <c r="AL272" s="16"/>
      <c r="AZ272" s="2" t="e">
        <f t="shared" si="239"/>
        <v>#DIV/0!</v>
      </c>
    </row>
    <row r="273" spans="1:52" x14ac:dyDescent="0.2">
      <c r="A273" s="250"/>
      <c r="B273" s="15" t="s">
        <v>14</v>
      </c>
      <c r="C273" s="30">
        <f>SUM(C261:C272)</f>
        <v>6078231516.8603287</v>
      </c>
      <c r="D273" s="30">
        <f>SUM(D261:D272)</f>
        <v>2624716424.8105907</v>
      </c>
      <c r="E273" s="30">
        <f>SUM(E261:E272)</f>
        <v>3551357415.5881729</v>
      </c>
      <c r="F273" s="30">
        <f>SUM(F261:F272)</f>
        <v>-97842323.53843455</v>
      </c>
      <c r="G273" s="1">
        <f>1-H273</f>
        <v>1</v>
      </c>
      <c r="H273" s="11">
        <f t="shared" si="230"/>
        <v>0</v>
      </c>
      <c r="J273" s="30">
        <f>SUM(J261:J272)</f>
        <v>106540722.46764517</v>
      </c>
      <c r="K273" s="30"/>
      <c r="L273" s="30"/>
      <c r="M273" s="30"/>
      <c r="N273" s="30"/>
      <c r="O273" s="16"/>
      <c r="P273" s="16"/>
      <c r="Q273" s="30" t="e">
        <f>SUM(Q261:Q272)</f>
        <v>#DIV/0!</v>
      </c>
      <c r="R273" s="30"/>
      <c r="S273" s="30"/>
      <c r="T273" s="30"/>
      <c r="U273" s="30">
        <f>SUM(U261:U272)</f>
        <v>0</v>
      </c>
      <c r="V273" s="30"/>
      <c r="W273" s="30"/>
      <c r="X273" s="30"/>
      <c r="Y273" s="30"/>
      <c r="Z273" s="30"/>
      <c r="AA273" s="30"/>
      <c r="AB273" s="30" t="e">
        <f>SUM(AB261:AB272)</f>
        <v>#DIV/0!</v>
      </c>
      <c r="AC273" s="30"/>
      <c r="AD273" s="16" t="e">
        <f t="shared" si="237"/>
        <v>#DIV/0!</v>
      </c>
      <c r="AE273" s="16"/>
      <c r="AF273" s="16"/>
      <c r="AG273" s="16"/>
      <c r="AH273" s="16" t="e">
        <f t="shared" si="238"/>
        <v>#DIV/0!</v>
      </c>
      <c r="AI273" s="16"/>
      <c r="AJ273" s="16"/>
      <c r="AK273" s="16"/>
      <c r="AL273" s="16"/>
      <c r="AZ273" s="3" t="e">
        <f>SUM(AZ261:AZ272)</f>
        <v>#DIV/0!</v>
      </c>
    </row>
    <row r="274" spans="1:52" x14ac:dyDescent="0.2">
      <c r="C274" s="30"/>
      <c r="D274" s="30"/>
      <c r="E274" s="30"/>
      <c r="F274" s="30"/>
      <c r="G274" s="21">
        <f>SUM(G261:G272)</f>
        <v>12</v>
      </c>
      <c r="H274" s="21">
        <f>SUM(H261:H272)</f>
        <v>0</v>
      </c>
      <c r="I274" s="10" t="s">
        <v>30</v>
      </c>
      <c r="J274" s="17">
        <f>C256-SUM(J261:J272)</f>
        <v>319622167.40293598</v>
      </c>
      <c r="K274" s="17"/>
      <c r="L274" s="17"/>
      <c r="M274" s="17"/>
      <c r="N274" s="17"/>
    </row>
    <row r="277" spans="1:52" x14ac:dyDescent="0.2">
      <c r="A277" s="250">
        <v>11</v>
      </c>
      <c r="B277" t="s">
        <v>34</v>
      </c>
      <c r="C277" s="4" t="e">
        <f>AZ273</f>
        <v>#DIV/0!</v>
      </c>
      <c r="D277" s="4"/>
    </row>
    <row r="278" spans="1:52" x14ac:dyDescent="0.2">
      <c r="A278" s="250"/>
      <c r="B278" t="s">
        <v>27</v>
      </c>
      <c r="C278" s="6" t="e">
        <f>C277*(1+C279)</f>
        <v>#DIV/0!</v>
      </c>
      <c r="D278" s="6"/>
    </row>
    <row r="279" spans="1:52" x14ac:dyDescent="0.2">
      <c r="A279" s="250"/>
      <c r="B279" t="s">
        <v>28</v>
      </c>
      <c r="C279" s="20">
        <f>C4</f>
        <v>0.12</v>
      </c>
      <c r="D279" s="20"/>
    </row>
    <row r="280" spans="1:52" x14ac:dyDescent="0.2">
      <c r="A280" s="250"/>
      <c r="B280" t="s">
        <v>16</v>
      </c>
      <c r="C280" s="20">
        <f>C5</f>
        <v>0.03</v>
      </c>
      <c r="D280" s="20"/>
    </row>
    <row r="281" spans="1:52" x14ac:dyDescent="0.2">
      <c r="A281" s="250"/>
      <c r="B281" t="s">
        <v>31</v>
      </c>
      <c r="C281" s="6" t="e">
        <f>C278-C277</f>
        <v>#DIV/0!</v>
      </c>
      <c r="D281" s="6"/>
    </row>
    <row r="282" spans="1:52" x14ac:dyDescent="0.2">
      <c r="A282" s="250"/>
      <c r="B282" t="s">
        <v>48</v>
      </c>
      <c r="C282" s="20">
        <f>((1+$C$5)^A277)-1</f>
        <v>0.38423387072444548</v>
      </c>
      <c r="D282" s="20"/>
    </row>
    <row r="283" spans="1:52" ht="21" x14ac:dyDescent="0.25">
      <c r="A283" s="250"/>
      <c r="F283" s="6"/>
      <c r="G283" s="6"/>
      <c r="I283" s="251" t="s">
        <v>18</v>
      </c>
      <c r="J283" s="251"/>
      <c r="K283" s="251"/>
      <c r="L283" s="251"/>
      <c r="M283" s="251"/>
      <c r="N283" s="251"/>
      <c r="O283" s="251"/>
      <c r="P283" s="251"/>
      <c r="Q283" s="251"/>
      <c r="R283" s="251"/>
      <c r="S283" s="251"/>
      <c r="T283" s="251"/>
      <c r="U283" s="251"/>
      <c r="V283" s="251"/>
      <c r="W283" s="251"/>
      <c r="X283" s="251"/>
      <c r="Y283" s="251"/>
      <c r="Z283" s="251"/>
      <c r="AA283" s="251"/>
      <c r="AB283" s="251"/>
      <c r="AC283" s="251"/>
      <c r="AD283" s="251"/>
      <c r="AE283" s="107"/>
      <c r="AF283" s="107"/>
      <c r="AG283" s="107"/>
      <c r="AH283" s="107"/>
      <c r="AI283" s="107"/>
      <c r="AJ283" s="107"/>
      <c r="AK283" s="107"/>
      <c r="AL283" s="107"/>
    </row>
    <row r="284" spans="1:52" x14ac:dyDescent="0.2">
      <c r="A284" s="250" t="s">
        <v>51</v>
      </c>
      <c r="I284" s="255" t="s">
        <v>19</v>
      </c>
      <c r="J284" s="255"/>
      <c r="K284" s="255"/>
      <c r="L284" s="255"/>
      <c r="M284" s="255"/>
      <c r="N284" s="255"/>
      <c r="O284" s="255"/>
      <c r="P284" s="255"/>
      <c r="Q284" s="255"/>
      <c r="R284" s="255"/>
      <c r="S284" s="255"/>
      <c r="T284" s="255"/>
      <c r="U284" s="255"/>
      <c r="V284" s="255"/>
      <c r="W284" s="255"/>
      <c r="X284" s="255"/>
      <c r="Y284" s="255"/>
      <c r="Z284" s="255"/>
      <c r="AA284" s="255"/>
      <c r="AB284" s="255"/>
      <c r="AC284" s="255"/>
      <c r="AD284" s="255"/>
      <c r="AE284" s="115"/>
      <c r="AF284" s="115"/>
      <c r="AG284" s="115"/>
      <c r="AH284" s="115"/>
      <c r="AI284" s="115"/>
      <c r="AJ284" s="115"/>
      <c r="AK284" s="115"/>
      <c r="AL284" s="115"/>
    </row>
    <row r="285" spans="1:52" ht="49" thickBot="1" x14ac:dyDescent="0.25">
      <c r="A285" s="250"/>
      <c r="B285" s="22" t="s">
        <v>12</v>
      </c>
      <c r="C285" s="13" t="s">
        <v>15</v>
      </c>
      <c r="D285" s="13" t="s">
        <v>63</v>
      </c>
      <c r="E285" s="13" t="s">
        <v>29</v>
      </c>
      <c r="F285" s="13" t="s">
        <v>13</v>
      </c>
      <c r="G285" s="13" t="s">
        <v>50</v>
      </c>
      <c r="H285" s="13" t="s">
        <v>17</v>
      </c>
      <c r="I285" s="28" t="s">
        <v>20</v>
      </c>
      <c r="J285" s="28" t="s">
        <v>21</v>
      </c>
      <c r="K285" s="28"/>
      <c r="L285" s="28"/>
      <c r="M285" s="28"/>
      <c r="N285" s="28"/>
      <c r="O285" s="28" t="s">
        <v>22</v>
      </c>
      <c r="P285" s="28" t="s">
        <v>49</v>
      </c>
      <c r="Q285" s="28" t="s">
        <v>23</v>
      </c>
      <c r="R285" s="28"/>
      <c r="S285" s="28" t="s">
        <v>71</v>
      </c>
      <c r="T285" s="28"/>
      <c r="U285" s="28" t="s">
        <v>72</v>
      </c>
      <c r="V285" s="28"/>
      <c r="W285" s="28"/>
      <c r="X285" s="28"/>
      <c r="Y285" s="28"/>
      <c r="Z285" s="28"/>
      <c r="AA285" s="28"/>
      <c r="AB285" s="28" t="s">
        <v>24</v>
      </c>
      <c r="AC285" s="28"/>
      <c r="AD285" s="28" t="s">
        <v>25</v>
      </c>
      <c r="AE285" s="116"/>
      <c r="AF285" s="116"/>
      <c r="AG285" s="116"/>
      <c r="AH285" s="28" t="s">
        <v>25</v>
      </c>
      <c r="AI285" s="116"/>
      <c r="AJ285" s="116"/>
      <c r="AK285" s="116"/>
      <c r="AL285" s="116"/>
      <c r="AZ285" s="28" t="s">
        <v>32</v>
      </c>
    </row>
    <row r="286" spans="1:52" ht="16" thickTop="1" x14ac:dyDescent="0.2">
      <c r="A286" s="250"/>
      <c r="B286" s="14" t="s">
        <v>0</v>
      </c>
      <c r="C286" s="2">
        <f t="shared" ref="C286:C297" si="243">VLOOKUP($B286,$B$10:$Q$23,2,FALSE)*(1+$C$282)</f>
        <v>109293802.23569913</v>
      </c>
      <c r="D286" s="2">
        <f t="shared" ref="D286:D297" si="244">VLOOKUP($B286,$B$10:$Q$23,3,FALSE)*(1+$C$282)</f>
        <v>17760635.942642588</v>
      </c>
      <c r="E286" s="2" t="e">
        <f t="shared" ref="E286:E297" si="245">AZ261</f>
        <v>#DIV/0!</v>
      </c>
      <c r="F286" s="4" t="e">
        <f t="shared" ref="F286:F297" si="246">C286-E286-D286</f>
        <v>#DIV/0!</v>
      </c>
      <c r="G286" s="1" t="e">
        <f>1-H286</f>
        <v>#DIV/0!</v>
      </c>
      <c r="H286" s="1" t="e">
        <f t="shared" ref="H286:H298" si="247">MAX(0,F286/C286)</f>
        <v>#DIV/0!</v>
      </c>
      <c r="I286" s="29">
        <f>MIN($C$5,($C$4*0.5))*$C$8</f>
        <v>0.03</v>
      </c>
      <c r="J286" s="2" t="e">
        <f t="shared" ref="J286:J297" si="248">I286*E286</f>
        <v>#DIV/0!</v>
      </c>
      <c r="K286" s="2"/>
      <c r="L286" s="2"/>
      <c r="M286" s="2"/>
      <c r="N286" s="2"/>
      <c r="O286" s="16" t="e">
        <f t="shared" ref="O286:O297" si="249">H286/$H$299</f>
        <v>#DIV/0!</v>
      </c>
      <c r="P286" s="16" t="e">
        <f t="shared" ref="P286:P297" si="250">G286/$G$299</f>
        <v>#DIV/0!</v>
      </c>
      <c r="Q286" s="2" t="e">
        <f>$J$299*IF($J$299&lt;0,P286,O286)*0.5</f>
        <v>#DIV/0!</v>
      </c>
      <c r="R286" s="2"/>
      <c r="S286" s="16" t="e">
        <f t="shared" ref="S286:S297" si="251">MAX(F286,0)/$F$298</f>
        <v>#DIV/0!</v>
      </c>
      <c r="T286" s="16"/>
      <c r="U286" s="2" t="e">
        <f t="shared" ref="U286:U297" si="252">S286*$J$299*0.5</f>
        <v>#DIV/0!</v>
      </c>
      <c r="V286" s="2"/>
      <c r="W286" s="2"/>
      <c r="X286" s="2"/>
      <c r="Y286" s="2"/>
      <c r="Z286" s="2"/>
      <c r="AA286" s="2"/>
      <c r="AB286" s="2" t="e">
        <f t="shared" ref="AB286:AB297" si="253">J286+Q286+U286</f>
        <v>#DIV/0!</v>
      </c>
      <c r="AC286" s="2"/>
      <c r="AD286" s="16" t="e">
        <f t="shared" ref="AD286:AD298" si="254">AB286/E286</f>
        <v>#DIV/0!</v>
      </c>
      <c r="AE286" s="16"/>
      <c r="AF286" s="16"/>
      <c r="AG286" s="16"/>
      <c r="AH286" s="16" t="e">
        <f t="shared" ref="AH286:AH298" si="255">AG286/H286</f>
        <v>#DIV/0!</v>
      </c>
      <c r="AI286" s="16"/>
      <c r="AJ286" s="16"/>
      <c r="AK286" s="16"/>
      <c r="AL286" s="16"/>
      <c r="AZ286" s="2" t="e">
        <f t="shared" ref="AZ286:AZ297" si="256">AB286+E286</f>
        <v>#DIV/0!</v>
      </c>
    </row>
    <row r="287" spans="1:52" x14ac:dyDescent="0.2">
      <c r="A287" s="250"/>
      <c r="B287" s="14" t="s">
        <v>1</v>
      </c>
      <c r="C287" s="2">
        <f t="shared" si="243"/>
        <v>233025438.50838199</v>
      </c>
      <c r="D287" s="2">
        <f t="shared" si="244"/>
        <v>78863958.28563568</v>
      </c>
      <c r="E287" s="2" t="e">
        <f t="shared" si="245"/>
        <v>#DIV/0!</v>
      </c>
      <c r="F287" s="4" t="e">
        <f t="shared" si="246"/>
        <v>#DIV/0!</v>
      </c>
      <c r="G287" s="1" t="e">
        <f t="shared" ref="G287:G297" si="257">1-H287</f>
        <v>#DIV/0!</v>
      </c>
      <c r="H287" s="1" t="e">
        <f t="shared" si="247"/>
        <v>#DIV/0!</v>
      </c>
      <c r="I287" s="29">
        <f t="shared" ref="I287:I297" si="258">MIN($C$5,($C$4*0.5))*$C$8</f>
        <v>0.03</v>
      </c>
      <c r="J287" s="2" t="e">
        <f t="shared" si="248"/>
        <v>#DIV/0!</v>
      </c>
      <c r="K287" s="2"/>
      <c r="L287" s="2"/>
      <c r="M287" s="2"/>
      <c r="N287" s="2"/>
      <c r="O287" s="16" t="e">
        <f t="shared" si="249"/>
        <v>#DIV/0!</v>
      </c>
      <c r="P287" s="16" t="e">
        <f t="shared" si="250"/>
        <v>#DIV/0!</v>
      </c>
      <c r="Q287" s="2" t="e">
        <f t="shared" ref="Q287:Q297" si="259">$J$299*IF($J$299&lt;0,P287,O287)*0.5</f>
        <v>#DIV/0!</v>
      </c>
      <c r="R287" s="2"/>
      <c r="S287" s="16" t="e">
        <f t="shared" si="251"/>
        <v>#DIV/0!</v>
      </c>
      <c r="T287" s="16"/>
      <c r="U287" s="2" t="e">
        <f t="shared" si="252"/>
        <v>#DIV/0!</v>
      </c>
      <c r="V287" s="2"/>
      <c r="W287" s="2"/>
      <c r="X287" s="2"/>
      <c r="Y287" s="2"/>
      <c r="Z287" s="2"/>
      <c r="AA287" s="2"/>
      <c r="AB287" s="2" t="e">
        <f t="shared" si="253"/>
        <v>#DIV/0!</v>
      </c>
      <c r="AC287" s="2"/>
      <c r="AD287" s="16" t="e">
        <f t="shared" si="254"/>
        <v>#DIV/0!</v>
      </c>
      <c r="AE287" s="16"/>
      <c r="AF287" s="16"/>
      <c r="AG287" s="16"/>
      <c r="AH287" s="16" t="e">
        <f t="shared" si="255"/>
        <v>#DIV/0!</v>
      </c>
      <c r="AI287" s="16"/>
      <c r="AJ287" s="16"/>
      <c r="AK287" s="16"/>
      <c r="AL287" s="16"/>
      <c r="AZ287" s="2" t="e">
        <f t="shared" si="256"/>
        <v>#DIV/0!</v>
      </c>
    </row>
    <row r="288" spans="1:52" x14ac:dyDescent="0.2">
      <c r="A288" s="250"/>
      <c r="B288" s="14" t="s">
        <v>2</v>
      </c>
      <c r="C288" s="2">
        <f t="shared" si="243"/>
        <v>160785325.48019308</v>
      </c>
      <c r="D288" s="2">
        <f t="shared" si="244"/>
        <v>36718729.694480225</v>
      </c>
      <c r="E288" s="2" t="e">
        <f t="shared" si="245"/>
        <v>#DIV/0!</v>
      </c>
      <c r="F288" s="4" t="e">
        <f t="shared" si="246"/>
        <v>#DIV/0!</v>
      </c>
      <c r="G288" s="1" t="e">
        <f t="shared" si="257"/>
        <v>#DIV/0!</v>
      </c>
      <c r="H288" s="1" t="e">
        <f t="shared" si="247"/>
        <v>#DIV/0!</v>
      </c>
      <c r="I288" s="29">
        <f t="shared" si="258"/>
        <v>0.03</v>
      </c>
      <c r="J288" s="2" t="e">
        <f t="shared" si="248"/>
        <v>#DIV/0!</v>
      </c>
      <c r="K288" s="2"/>
      <c r="L288" s="2"/>
      <c r="M288" s="2"/>
      <c r="N288" s="2"/>
      <c r="O288" s="16" t="e">
        <f t="shared" si="249"/>
        <v>#DIV/0!</v>
      </c>
      <c r="P288" s="16" t="e">
        <f t="shared" si="250"/>
        <v>#DIV/0!</v>
      </c>
      <c r="Q288" s="2" t="e">
        <f t="shared" si="259"/>
        <v>#DIV/0!</v>
      </c>
      <c r="R288" s="2"/>
      <c r="S288" s="16" t="e">
        <f t="shared" si="251"/>
        <v>#DIV/0!</v>
      </c>
      <c r="T288" s="16"/>
      <c r="U288" s="2" t="e">
        <f t="shared" si="252"/>
        <v>#DIV/0!</v>
      </c>
      <c r="V288" s="2"/>
      <c r="W288" s="2"/>
      <c r="X288" s="2"/>
      <c r="Y288" s="2"/>
      <c r="Z288" s="2"/>
      <c r="AA288" s="2"/>
      <c r="AB288" s="2" t="e">
        <f t="shared" si="253"/>
        <v>#DIV/0!</v>
      </c>
      <c r="AC288" s="2"/>
      <c r="AD288" s="16" t="e">
        <f t="shared" si="254"/>
        <v>#DIV/0!</v>
      </c>
      <c r="AE288" s="16"/>
      <c r="AF288" s="16"/>
      <c r="AG288" s="16"/>
      <c r="AH288" s="16" t="e">
        <f t="shared" si="255"/>
        <v>#DIV/0!</v>
      </c>
      <c r="AI288" s="16"/>
      <c r="AJ288" s="16"/>
      <c r="AK288" s="16"/>
      <c r="AL288" s="16"/>
      <c r="AZ288" s="2" t="e">
        <f t="shared" si="256"/>
        <v>#DIV/0!</v>
      </c>
    </row>
    <row r="289" spans="1:52" x14ac:dyDescent="0.2">
      <c r="A289" s="250"/>
      <c r="B289" s="14" t="s">
        <v>3</v>
      </c>
      <c r="C289" s="2">
        <f t="shared" si="243"/>
        <v>662562834.37587214</v>
      </c>
      <c r="D289" s="2">
        <f t="shared" si="244"/>
        <v>261934069.04945377</v>
      </c>
      <c r="E289" s="2" t="e">
        <f t="shared" si="245"/>
        <v>#DIV/0!</v>
      </c>
      <c r="F289" s="4" t="e">
        <f t="shared" si="246"/>
        <v>#DIV/0!</v>
      </c>
      <c r="G289" s="1" t="e">
        <f t="shared" si="257"/>
        <v>#DIV/0!</v>
      </c>
      <c r="H289" s="1" t="e">
        <f t="shared" si="247"/>
        <v>#DIV/0!</v>
      </c>
      <c r="I289" s="29">
        <f t="shared" si="258"/>
        <v>0.03</v>
      </c>
      <c r="J289" s="2" t="e">
        <f t="shared" si="248"/>
        <v>#DIV/0!</v>
      </c>
      <c r="K289" s="2"/>
      <c r="L289" s="2"/>
      <c r="M289" s="2"/>
      <c r="N289" s="2"/>
      <c r="O289" s="16" t="e">
        <f t="shared" si="249"/>
        <v>#DIV/0!</v>
      </c>
      <c r="P289" s="16" t="e">
        <f t="shared" si="250"/>
        <v>#DIV/0!</v>
      </c>
      <c r="Q289" s="2" t="e">
        <f t="shared" si="259"/>
        <v>#DIV/0!</v>
      </c>
      <c r="R289" s="2"/>
      <c r="S289" s="16" t="e">
        <f t="shared" si="251"/>
        <v>#DIV/0!</v>
      </c>
      <c r="T289" s="16"/>
      <c r="U289" s="2" t="e">
        <f t="shared" si="252"/>
        <v>#DIV/0!</v>
      </c>
      <c r="V289" s="2"/>
      <c r="W289" s="2"/>
      <c r="X289" s="2"/>
      <c r="Y289" s="2"/>
      <c r="Z289" s="2"/>
      <c r="AA289" s="2"/>
      <c r="AB289" s="2" t="e">
        <f t="shared" si="253"/>
        <v>#DIV/0!</v>
      </c>
      <c r="AC289" s="2"/>
      <c r="AD289" s="16" t="e">
        <f t="shared" si="254"/>
        <v>#DIV/0!</v>
      </c>
      <c r="AE289" s="16"/>
      <c r="AF289" s="16"/>
      <c r="AG289" s="16"/>
      <c r="AH289" s="16" t="e">
        <f t="shared" si="255"/>
        <v>#DIV/0!</v>
      </c>
      <c r="AI289" s="16"/>
      <c r="AJ289" s="16"/>
      <c r="AK289" s="16"/>
      <c r="AL289" s="16"/>
      <c r="AZ289" s="2" t="e">
        <f t="shared" si="256"/>
        <v>#DIV/0!</v>
      </c>
    </row>
    <row r="290" spans="1:52" x14ac:dyDescent="0.2">
      <c r="A290" s="250"/>
      <c r="B290" s="14" t="s">
        <v>4</v>
      </c>
      <c r="C290" s="2">
        <f t="shared" si="243"/>
        <v>238508108.13835379</v>
      </c>
      <c r="D290" s="2">
        <f t="shared" si="244"/>
        <v>40270266.37826433</v>
      </c>
      <c r="E290" s="2" t="e">
        <f t="shared" si="245"/>
        <v>#DIV/0!</v>
      </c>
      <c r="F290" s="4" t="e">
        <f t="shared" si="246"/>
        <v>#DIV/0!</v>
      </c>
      <c r="G290" s="1" t="e">
        <f t="shared" si="257"/>
        <v>#DIV/0!</v>
      </c>
      <c r="H290" s="1" t="e">
        <f t="shared" si="247"/>
        <v>#DIV/0!</v>
      </c>
      <c r="I290" s="29">
        <f t="shared" si="258"/>
        <v>0.03</v>
      </c>
      <c r="J290" s="2" t="e">
        <f t="shared" si="248"/>
        <v>#DIV/0!</v>
      </c>
      <c r="K290" s="2"/>
      <c r="L290" s="2"/>
      <c r="M290" s="2"/>
      <c r="N290" s="2"/>
      <c r="O290" s="16" t="e">
        <f t="shared" si="249"/>
        <v>#DIV/0!</v>
      </c>
      <c r="P290" s="16" t="e">
        <f t="shared" si="250"/>
        <v>#DIV/0!</v>
      </c>
      <c r="Q290" s="2" t="e">
        <f t="shared" si="259"/>
        <v>#DIV/0!</v>
      </c>
      <c r="R290" s="2"/>
      <c r="S290" s="16" t="e">
        <f t="shared" si="251"/>
        <v>#DIV/0!</v>
      </c>
      <c r="T290" s="16"/>
      <c r="U290" s="2" t="e">
        <f t="shared" si="252"/>
        <v>#DIV/0!</v>
      </c>
      <c r="V290" s="2"/>
      <c r="W290" s="2"/>
      <c r="X290" s="2"/>
      <c r="Y290" s="2"/>
      <c r="Z290" s="2"/>
      <c r="AA290" s="2"/>
      <c r="AB290" s="2" t="e">
        <f t="shared" si="253"/>
        <v>#DIV/0!</v>
      </c>
      <c r="AC290" s="2"/>
      <c r="AD290" s="16" t="e">
        <f t="shared" si="254"/>
        <v>#DIV/0!</v>
      </c>
      <c r="AE290" s="16"/>
      <c r="AF290" s="16"/>
      <c r="AG290" s="16"/>
      <c r="AH290" s="16" t="e">
        <f t="shared" si="255"/>
        <v>#DIV/0!</v>
      </c>
      <c r="AI290" s="16"/>
      <c r="AJ290" s="16"/>
      <c r="AK290" s="16"/>
      <c r="AL290" s="16"/>
      <c r="AZ290" s="2" t="e">
        <f t="shared" si="256"/>
        <v>#DIV/0!</v>
      </c>
    </row>
    <row r="291" spans="1:52" x14ac:dyDescent="0.2">
      <c r="A291" s="250"/>
      <c r="B291" s="14" t="s">
        <v>5</v>
      </c>
      <c r="C291" s="2">
        <f t="shared" si="243"/>
        <v>564892635.76143587</v>
      </c>
      <c r="D291" s="2">
        <f t="shared" si="244"/>
        <v>179720447.58852619</v>
      </c>
      <c r="E291" s="2" t="e">
        <f t="shared" si="245"/>
        <v>#DIV/0!</v>
      </c>
      <c r="F291" s="4" t="e">
        <f t="shared" si="246"/>
        <v>#DIV/0!</v>
      </c>
      <c r="G291" s="1" t="e">
        <f t="shared" si="257"/>
        <v>#DIV/0!</v>
      </c>
      <c r="H291" s="1" t="e">
        <f t="shared" si="247"/>
        <v>#DIV/0!</v>
      </c>
      <c r="I291" s="29">
        <f t="shared" si="258"/>
        <v>0.03</v>
      </c>
      <c r="J291" s="2" t="e">
        <f t="shared" si="248"/>
        <v>#DIV/0!</v>
      </c>
      <c r="K291" s="2"/>
      <c r="L291" s="2"/>
      <c r="M291" s="2"/>
      <c r="N291" s="2"/>
      <c r="O291" s="16" t="e">
        <f t="shared" si="249"/>
        <v>#DIV/0!</v>
      </c>
      <c r="P291" s="16" t="e">
        <f t="shared" si="250"/>
        <v>#DIV/0!</v>
      </c>
      <c r="Q291" s="2" t="e">
        <f t="shared" si="259"/>
        <v>#DIV/0!</v>
      </c>
      <c r="R291" s="2"/>
      <c r="S291" s="16" t="e">
        <f t="shared" si="251"/>
        <v>#DIV/0!</v>
      </c>
      <c r="T291" s="16"/>
      <c r="U291" s="2" t="e">
        <f t="shared" si="252"/>
        <v>#DIV/0!</v>
      </c>
      <c r="V291" s="2"/>
      <c r="W291" s="2"/>
      <c r="X291" s="2"/>
      <c r="Y291" s="2"/>
      <c r="Z291" s="2"/>
      <c r="AA291" s="2"/>
      <c r="AB291" s="2" t="e">
        <f t="shared" si="253"/>
        <v>#DIV/0!</v>
      </c>
      <c r="AC291" s="2"/>
      <c r="AD291" s="16" t="e">
        <f t="shared" si="254"/>
        <v>#DIV/0!</v>
      </c>
      <c r="AE291" s="16"/>
      <c r="AF291" s="16"/>
      <c r="AG291" s="16"/>
      <c r="AH291" s="16" t="e">
        <f t="shared" si="255"/>
        <v>#DIV/0!</v>
      </c>
      <c r="AI291" s="16"/>
      <c r="AJ291" s="16"/>
      <c r="AK291" s="16"/>
      <c r="AL291" s="16"/>
      <c r="AZ291" s="2" t="e">
        <f t="shared" si="256"/>
        <v>#DIV/0!</v>
      </c>
    </row>
    <row r="292" spans="1:52" x14ac:dyDescent="0.2">
      <c r="A292" s="250"/>
      <c r="B292" s="14" t="s">
        <v>6</v>
      </c>
      <c r="C292" s="2">
        <f t="shared" si="243"/>
        <v>411942833.96805096</v>
      </c>
      <c r="D292" s="2">
        <f t="shared" si="244"/>
        <v>184430276.30160522</v>
      </c>
      <c r="E292" s="2" t="e">
        <f t="shared" si="245"/>
        <v>#DIV/0!</v>
      </c>
      <c r="F292" s="4" t="e">
        <f t="shared" si="246"/>
        <v>#DIV/0!</v>
      </c>
      <c r="G292" s="1" t="e">
        <f t="shared" si="257"/>
        <v>#DIV/0!</v>
      </c>
      <c r="H292" s="1" t="e">
        <f t="shared" si="247"/>
        <v>#DIV/0!</v>
      </c>
      <c r="I292" s="29">
        <f t="shared" si="258"/>
        <v>0.03</v>
      </c>
      <c r="J292" s="2" t="e">
        <f t="shared" si="248"/>
        <v>#DIV/0!</v>
      </c>
      <c r="K292" s="2"/>
      <c r="L292" s="2"/>
      <c r="M292" s="2"/>
      <c r="N292" s="2"/>
      <c r="O292" s="16" t="e">
        <f t="shared" si="249"/>
        <v>#DIV/0!</v>
      </c>
      <c r="P292" s="16" t="e">
        <f t="shared" si="250"/>
        <v>#DIV/0!</v>
      </c>
      <c r="Q292" s="2" t="e">
        <f t="shared" si="259"/>
        <v>#DIV/0!</v>
      </c>
      <c r="R292" s="2"/>
      <c r="S292" s="16" t="e">
        <f t="shared" si="251"/>
        <v>#DIV/0!</v>
      </c>
      <c r="T292" s="16"/>
      <c r="U292" s="2" t="e">
        <f t="shared" si="252"/>
        <v>#DIV/0!</v>
      </c>
      <c r="V292" s="2"/>
      <c r="W292" s="2"/>
      <c r="X292" s="2"/>
      <c r="Y292" s="2"/>
      <c r="Z292" s="2"/>
      <c r="AA292" s="2"/>
      <c r="AB292" s="2" t="e">
        <f t="shared" si="253"/>
        <v>#DIV/0!</v>
      </c>
      <c r="AC292" s="2"/>
      <c r="AD292" s="16" t="e">
        <f t="shared" si="254"/>
        <v>#DIV/0!</v>
      </c>
      <c r="AE292" s="16"/>
      <c r="AF292" s="16"/>
      <c r="AG292" s="16"/>
      <c r="AH292" s="16" t="e">
        <f t="shared" si="255"/>
        <v>#DIV/0!</v>
      </c>
      <c r="AI292" s="16"/>
      <c r="AJ292" s="16"/>
      <c r="AK292" s="16"/>
      <c r="AL292" s="16"/>
      <c r="AZ292" s="2" t="e">
        <f t="shared" si="256"/>
        <v>#DIV/0!</v>
      </c>
    </row>
    <row r="293" spans="1:52" x14ac:dyDescent="0.2">
      <c r="A293" s="250"/>
      <c r="B293" s="14" t="s">
        <v>7</v>
      </c>
      <c r="C293" s="2">
        <f t="shared" si="243"/>
        <v>457261756.79268217</v>
      </c>
      <c r="D293" s="2">
        <f t="shared" si="244"/>
        <v>189682633.42158917</v>
      </c>
      <c r="E293" s="2" t="e">
        <f t="shared" si="245"/>
        <v>#DIV/0!</v>
      </c>
      <c r="F293" s="4" t="e">
        <f t="shared" si="246"/>
        <v>#DIV/0!</v>
      </c>
      <c r="G293" s="1" t="e">
        <f t="shared" si="257"/>
        <v>#DIV/0!</v>
      </c>
      <c r="H293" s="1" t="e">
        <f t="shared" si="247"/>
        <v>#DIV/0!</v>
      </c>
      <c r="I293" s="29">
        <f t="shared" si="258"/>
        <v>0.03</v>
      </c>
      <c r="J293" s="2" t="e">
        <f t="shared" si="248"/>
        <v>#DIV/0!</v>
      </c>
      <c r="K293" s="2"/>
      <c r="L293" s="2"/>
      <c r="M293" s="2"/>
      <c r="N293" s="2"/>
      <c r="O293" s="16" t="e">
        <f t="shared" si="249"/>
        <v>#DIV/0!</v>
      </c>
      <c r="P293" s="16" t="e">
        <f t="shared" si="250"/>
        <v>#DIV/0!</v>
      </c>
      <c r="Q293" s="2" t="e">
        <f t="shared" si="259"/>
        <v>#DIV/0!</v>
      </c>
      <c r="R293" s="2"/>
      <c r="S293" s="16" t="e">
        <f t="shared" si="251"/>
        <v>#DIV/0!</v>
      </c>
      <c r="T293" s="16"/>
      <c r="U293" s="2" t="e">
        <f t="shared" si="252"/>
        <v>#DIV/0!</v>
      </c>
      <c r="V293" s="2"/>
      <c r="W293" s="2"/>
      <c r="X293" s="2"/>
      <c r="Y293" s="2"/>
      <c r="Z293" s="2"/>
      <c r="AA293" s="2"/>
      <c r="AB293" s="2" t="e">
        <f t="shared" si="253"/>
        <v>#DIV/0!</v>
      </c>
      <c r="AC293" s="2"/>
      <c r="AD293" s="16" t="e">
        <f t="shared" si="254"/>
        <v>#DIV/0!</v>
      </c>
      <c r="AE293" s="16"/>
      <c r="AF293" s="16"/>
      <c r="AG293" s="16"/>
      <c r="AH293" s="16" t="e">
        <f t="shared" si="255"/>
        <v>#DIV/0!</v>
      </c>
      <c r="AI293" s="16"/>
      <c r="AJ293" s="16"/>
      <c r="AK293" s="16"/>
      <c r="AL293" s="16"/>
      <c r="AZ293" s="2" t="e">
        <f t="shared" si="256"/>
        <v>#DIV/0!</v>
      </c>
    </row>
    <row r="294" spans="1:52" x14ac:dyDescent="0.2">
      <c r="A294" s="250"/>
      <c r="B294" s="14" t="s">
        <v>8</v>
      </c>
      <c r="C294" s="2">
        <f t="shared" si="243"/>
        <v>1288611816.6838737</v>
      </c>
      <c r="D294" s="2">
        <f t="shared" si="244"/>
        <v>444198238.24174851</v>
      </c>
      <c r="E294" s="2" t="e">
        <f t="shared" si="245"/>
        <v>#DIV/0!</v>
      </c>
      <c r="F294" s="4" t="e">
        <f t="shared" si="246"/>
        <v>#DIV/0!</v>
      </c>
      <c r="G294" s="1" t="e">
        <f t="shared" si="257"/>
        <v>#DIV/0!</v>
      </c>
      <c r="H294" s="1" t="e">
        <f t="shared" si="247"/>
        <v>#DIV/0!</v>
      </c>
      <c r="I294" s="29">
        <f t="shared" si="258"/>
        <v>0.03</v>
      </c>
      <c r="J294" s="2" t="e">
        <f t="shared" si="248"/>
        <v>#DIV/0!</v>
      </c>
      <c r="K294" s="2"/>
      <c r="L294" s="2"/>
      <c r="M294" s="2"/>
      <c r="N294" s="2"/>
      <c r="O294" s="16" t="e">
        <f t="shared" si="249"/>
        <v>#DIV/0!</v>
      </c>
      <c r="P294" s="16" t="e">
        <f t="shared" si="250"/>
        <v>#DIV/0!</v>
      </c>
      <c r="Q294" s="2" t="e">
        <f t="shared" si="259"/>
        <v>#DIV/0!</v>
      </c>
      <c r="R294" s="2"/>
      <c r="S294" s="16" t="e">
        <f t="shared" si="251"/>
        <v>#DIV/0!</v>
      </c>
      <c r="T294" s="16"/>
      <c r="U294" s="2" t="e">
        <f t="shared" si="252"/>
        <v>#DIV/0!</v>
      </c>
      <c r="V294" s="2"/>
      <c r="W294" s="2"/>
      <c r="X294" s="2"/>
      <c r="Y294" s="2"/>
      <c r="Z294" s="2"/>
      <c r="AA294" s="2"/>
      <c r="AB294" s="2" t="e">
        <f t="shared" si="253"/>
        <v>#DIV/0!</v>
      </c>
      <c r="AC294" s="2"/>
      <c r="AD294" s="16" t="e">
        <f t="shared" si="254"/>
        <v>#DIV/0!</v>
      </c>
      <c r="AE294" s="16"/>
      <c r="AF294" s="16"/>
      <c r="AG294" s="16"/>
      <c r="AH294" s="16" t="e">
        <f t="shared" si="255"/>
        <v>#DIV/0!</v>
      </c>
      <c r="AI294" s="16"/>
      <c r="AJ294" s="16"/>
      <c r="AK294" s="16"/>
      <c r="AL294" s="16"/>
      <c r="AZ294" s="2" t="e">
        <f t="shared" si="256"/>
        <v>#DIV/0!</v>
      </c>
    </row>
    <row r="295" spans="1:52" x14ac:dyDescent="0.2">
      <c r="A295" s="250"/>
      <c r="B295" s="14" t="s">
        <v>9</v>
      </c>
      <c r="C295" s="2">
        <f t="shared" si="243"/>
        <v>129726025.33469135</v>
      </c>
      <c r="D295" s="2">
        <f t="shared" si="244"/>
        <v>55743049.735483505</v>
      </c>
      <c r="E295" s="2" t="e">
        <f t="shared" si="245"/>
        <v>#DIV/0!</v>
      </c>
      <c r="F295" s="4" t="e">
        <f t="shared" si="246"/>
        <v>#DIV/0!</v>
      </c>
      <c r="G295" s="1" t="e">
        <f t="shared" si="257"/>
        <v>#DIV/0!</v>
      </c>
      <c r="H295" s="1" t="e">
        <f t="shared" si="247"/>
        <v>#DIV/0!</v>
      </c>
      <c r="I295" s="29">
        <f t="shared" si="258"/>
        <v>0.03</v>
      </c>
      <c r="J295" s="2" t="e">
        <f t="shared" si="248"/>
        <v>#DIV/0!</v>
      </c>
      <c r="K295" s="2"/>
      <c r="L295" s="2"/>
      <c r="M295" s="2"/>
      <c r="N295" s="2"/>
      <c r="O295" s="16" t="e">
        <f t="shared" si="249"/>
        <v>#DIV/0!</v>
      </c>
      <c r="P295" s="16" t="e">
        <f t="shared" si="250"/>
        <v>#DIV/0!</v>
      </c>
      <c r="Q295" s="2" t="e">
        <f t="shared" si="259"/>
        <v>#DIV/0!</v>
      </c>
      <c r="R295" s="2"/>
      <c r="S295" s="16" t="e">
        <f t="shared" si="251"/>
        <v>#DIV/0!</v>
      </c>
      <c r="T295" s="16"/>
      <c r="U295" s="2" t="e">
        <f t="shared" si="252"/>
        <v>#DIV/0!</v>
      </c>
      <c r="V295" s="2"/>
      <c r="W295" s="2"/>
      <c r="X295" s="2"/>
      <c r="Y295" s="2"/>
      <c r="Z295" s="2"/>
      <c r="AA295" s="2"/>
      <c r="AB295" s="2" t="e">
        <f t="shared" si="253"/>
        <v>#DIV/0!</v>
      </c>
      <c r="AC295" s="2"/>
      <c r="AD295" s="16" t="e">
        <f t="shared" si="254"/>
        <v>#DIV/0!</v>
      </c>
      <c r="AE295" s="16"/>
      <c r="AF295" s="16"/>
      <c r="AG295" s="16"/>
      <c r="AH295" s="16" t="e">
        <f t="shared" si="255"/>
        <v>#DIV/0!</v>
      </c>
      <c r="AI295" s="16"/>
      <c r="AJ295" s="16"/>
      <c r="AK295" s="16"/>
      <c r="AL295" s="16"/>
      <c r="AZ295" s="2" t="e">
        <f t="shared" si="256"/>
        <v>#DIV/0!</v>
      </c>
    </row>
    <row r="296" spans="1:52" x14ac:dyDescent="0.2">
      <c r="A296" s="250"/>
      <c r="B296" s="14" t="s">
        <v>10</v>
      </c>
      <c r="C296" s="2">
        <f t="shared" si="243"/>
        <v>1728429483.1330609</v>
      </c>
      <c r="D296" s="2">
        <f t="shared" si="244"/>
        <v>1117101636.0400019</v>
      </c>
      <c r="E296" s="2" t="e">
        <f t="shared" si="245"/>
        <v>#DIV/0!</v>
      </c>
      <c r="F296" s="4" t="e">
        <f t="shared" si="246"/>
        <v>#DIV/0!</v>
      </c>
      <c r="G296" s="1" t="e">
        <f t="shared" si="257"/>
        <v>#DIV/0!</v>
      </c>
      <c r="H296" s="1" t="e">
        <f t="shared" si="247"/>
        <v>#DIV/0!</v>
      </c>
      <c r="I296" s="29">
        <f t="shared" si="258"/>
        <v>0.03</v>
      </c>
      <c r="J296" s="2" t="e">
        <f t="shared" si="248"/>
        <v>#DIV/0!</v>
      </c>
      <c r="K296" s="2"/>
      <c r="L296" s="2"/>
      <c r="M296" s="2"/>
      <c r="N296" s="2"/>
      <c r="O296" s="16" t="e">
        <f t="shared" si="249"/>
        <v>#DIV/0!</v>
      </c>
      <c r="P296" s="16" t="e">
        <f t="shared" si="250"/>
        <v>#DIV/0!</v>
      </c>
      <c r="Q296" s="2" t="e">
        <f t="shared" si="259"/>
        <v>#DIV/0!</v>
      </c>
      <c r="R296" s="2"/>
      <c r="S296" s="16" t="e">
        <f t="shared" si="251"/>
        <v>#DIV/0!</v>
      </c>
      <c r="T296" s="16"/>
      <c r="U296" s="2" t="e">
        <f t="shared" si="252"/>
        <v>#DIV/0!</v>
      </c>
      <c r="V296" s="2"/>
      <c r="W296" s="2"/>
      <c r="X296" s="2"/>
      <c r="Y296" s="2"/>
      <c r="Z296" s="2"/>
      <c r="AA296" s="2"/>
      <c r="AB296" s="2" t="e">
        <f t="shared" si="253"/>
        <v>#DIV/0!</v>
      </c>
      <c r="AC296" s="2"/>
      <c r="AD296" s="16" t="e">
        <f t="shared" si="254"/>
        <v>#DIV/0!</v>
      </c>
      <c r="AE296" s="16"/>
      <c r="AF296" s="16"/>
      <c r="AG296" s="16"/>
      <c r="AH296" s="16" t="e">
        <f t="shared" si="255"/>
        <v>#DIV/0!</v>
      </c>
      <c r="AI296" s="16"/>
      <c r="AJ296" s="16"/>
      <c r="AK296" s="16"/>
      <c r="AL296" s="16"/>
      <c r="AZ296" s="2" t="e">
        <f t="shared" si="256"/>
        <v>#DIV/0!</v>
      </c>
    </row>
    <row r="297" spans="1:52" x14ac:dyDescent="0.2">
      <c r="A297" s="250"/>
      <c r="B297" s="14" t="s">
        <v>11</v>
      </c>
      <c r="C297" s="2">
        <f t="shared" si="243"/>
        <v>275538401.95384377</v>
      </c>
      <c r="D297" s="2">
        <f t="shared" si="244"/>
        <v>97033976.875477329</v>
      </c>
      <c r="E297" s="2" t="e">
        <f t="shared" si="245"/>
        <v>#DIV/0!</v>
      </c>
      <c r="F297" s="4" t="e">
        <f t="shared" si="246"/>
        <v>#DIV/0!</v>
      </c>
      <c r="G297" s="1" t="e">
        <f t="shared" si="257"/>
        <v>#DIV/0!</v>
      </c>
      <c r="H297" s="1" t="e">
        <f t="shared" si="247"/>
        <v>#DIV/0!</v>
      </c>
      <c r="I297" s="29">
        <f t="shared" si="258"/>
        <v>0.03</v>
      </c>
      <c r="J297" s="2" t="e">
        <f t="shared" si="248"/>
        <v>#DIV/0!</v>
      </c>
      <c r="K297" s="2"/>
      <c r="L297" s="2"/>
      <c r="M297" s="2"/>
      <c r="N297" s="2"/>
      <c r="O297" s="16" t="e">
        <f t="shared" si="249"/>
        <v>#DIV/0!</v>
      </c>
      <c r="P297" s="16" t="e">
        <f t="shared" si="250"/>
        <v>#DIV/0!</v>
      </c>
      <c r="Q297" s="2" t="e">
        <f t="shared" si="259"/>
        <v>#DIV/0!</v>
      </c>
      <c r="R297" s="2"/>
      <c r="S297" s="16" t="e">
        <f t="shared" si="251"/>
        <v>#DIV/0!</v>
      </c>
      <c r="T297" s="16"/>
      <c r="U297" s="2" t="e">
        <f t="shared" si="252"/>
        <v>#DIV/0!</v>
      </c>
      <c r="V297" s="2"/>
      <c r="W297" s="2"/>
      <c r="X297" s="2"/>
      <c r="Y297" s="2"/>
      <c r="Z297" s="2"/>
      <c r="AA297" s="2"/>
      <c r="AB297" s="2" t="e">
        <f t="shared" si="253"/>
        <v>#DIV/0!</v>
      </c>
      <c r="AC297" s="2"/>
      <c r="AD297" s="16" t="e">
        <f t="shared" si="254"/>
        <v>#DIV/0!</v>
      </c>
      <c r="AE297" s="16"/>
      <c r="AF297" s="16"/>
      <c r="AG297" s="16"/>
      <c r="AH297" s="16" t="e">
        <f t="shared" si="255"/>
        <v>#DIV/0!</v>
      </c>
      <c r="AI297" s="16"/>
      <c r="AJ297" s="16"/>
      <c r="AK297" s="16"/>
      <c r="AL297" s="16"/>
      <c r="AZ297" s="2" t="e">
        <f t="shared" si="256"/>
        <v>#DIV/0!</v>
      </c>
    </row>
    <row r="298" spans="1:52" x14ac:dyDescent="0.2">
      <c r="A298" s="250"/>
      <c r="B298" s="15" t="s">
        <v>14</v>
      </c>
      <c r="C298" s="30">
        <f>SUM(C286:C297)</f>
        <v>6260578462.3661394</v>
      </c>
      <c r="D298" s="30">
        <f>SUM(D286:D297)</f>
        <v>2703457917.5549083</v>
      </c>
      <c r="E298" s="30" t="e">
        <f>SUM(E286:E297)</f>
        <v>#DIV/0!</v>
      </c>
      <c r="F298" s="30" t="e">
        <f>SUM(F286:F297)</f>
        <v>#DIV/0!</v>
      </c>
      <c r="G298" s="1" t="e">
        <f>1-H298</f>
        <v>#DIV/0!</v>
      </c>
      <c r="H298" s="11" t="e">
        <f t="shared" si="247"/>
        <v>#DIV/0!</v>
      </c>
      <c r="J298" s="30" t="e">
        <f>SUM(J286:J297)</f>
        <v>#DIV/0!</v>
      </c>
      <c r="K298" s="30"/>
      <c r="L298" s="30"/>
      <c r="M298" s="30"/>
      <c r="N298" s="30"/>
      <c r="O298" s="16"/>
      <c r="P298" s="16"/>
      <c r="Q298" s="30" t="e">
        <f>SUM(Q286:Q297)</f>
        <v>#DIV/0!</v>
      </c>
      <c r="R298" s="30"/>
      <c r="S298" s="30"/>
      <c r="T298" s="30"/>
      <c r="U298" s="30" t="e">
        <f>SUM(U286:U297)</f>
        <v>#DIV/0!</v>
      </c>
      <c r="V298" s="30"/>
      <c r="W298" s="30"/>
      <c r="X298" s="30"/>
      <c r="Y298" s="30"/>
      <c r="Z298" s="30"/>
      <c r="AA298" s="30"/>
      <c r="AB298" s="30" t="e">
        <f>SUM(AB286:AB297)</f>
        <v>#DIV/0!</v>
      </c>
      <c r="AC298" s="30"/>
      <c r="AD298" s="16" t="e">
        <f t="shared" si="254"/>
        <v>#DIV/0!</v>
      </c>
      <c r="AE298" s="16"/>
      <c r="AF298" s="16"/>
      <c r="AG298" s="16"/>
      <c r="AH298" s="16" t="e">
        <f t="shared" si="255"/>
        <v>#DIV/0!</v>
      </c>
      <c r="AI298" s="16"/>
      <c r="AJ298" s="16"/>
      <c r="AK298" s="16"/>
      <c r="AL298" s="16"/>
      <c r="AZ298" s="3" t="e">
        <f>SUM(AZ286:AZ297)</f>
        <v>#DIV/0!</v>
      </c>
    </row>
    <row r="299" spans="1:52" x14ac:dyDescent="0.2">
      <c r="C299" s="30"/>
      <c r="D299" s="30"/>
      <c r="E299" s="30"/>
      <c r="F299" s="30"/>
      <c r="G299" s="21" t="e">
        <f>SUM(G286:G297)</f>
        <v>#DIV/0!</v>
      </c>
      <c r="H299" s="21" t="e">
        <f>SUM(H286:H297)</f>
        <v>#DIV/0!</v>
      </c>
      <c r="I299" s="10" t="s">
        <v>30</v>
      </c>
      <c r="J299" s="17" t="e">
        <f>C281-SUM(J286:J297)</f>
        <v>#DIV/0!</v>
      </c>
      <c r="K299" s="17"/>
      <c r="L299" s="17"/>
      <c r="M299" s="17"/>
      <c r="N299" s="17"/>
    </row>
    <row r="302" spans="1:52" x14ac:dyDescent="0.2">
      <c r="A302" s="250">
        <v>12</v>
      </c>
      <c r="B302" t="s">
        <v>34</v>
      </c>
      <c r="C302" s="4" t="e">
        <f>AZ298</f>
        <v>#DIV/0!</v>
      </c>
      <c r="D302" s="4"/>
    </row>
    <row r="303" spans="1:52" x14ac:dyDescent="0.2">
      <c r="A303" s="250"/>
      <c r="B303" t="s">
        <v>27</v>
      </c>
      <c r="C303" s="6" t="e">
        <f>C302*(1+C304)</f>
        <v>#DIV/0!</v>
      </c>
      <c r="D303" s="6"/>
    </row>
    <row r="304" spans="1:52" x14ac:dyDescent="0.2">
      <c r="A304" s="250"/>
      <c r="B304" t="s">
        <v>28</v>
      </c>
      <c r="C304" s="20">
        <f>C4</f>
        <v>0.12</v>
      </c>
      <c r="D304" s="20"/>
    </row>
    <row r="305" spans="1:52" x14ac:dyDescent="0.2">
      <c r="A305" s="250"/>
      <c r="B305" t="s">
        <v>16</v>
      </c>
      <c r="C305" s="20">
        <f>C5</f>
        <v>0.03</v>
      </c>
      <c r="D305" s="20"/>
    </row>
    <row r="306" spans="1:52" x14ac:dyDescent="0.2">
      <c r="A306" s="250"/>
      <c r="B306" t="s">
        <v>31</v>
      </c>
      <c r="C306" s="6" t="e">
        <f>C303-C302</f>
        <v>#DIV/0!</v>
      </c>
      <c r="D306" s="6"/>
    </row>
    <row r="307" spans="1:52" x14ac:dyDescent="0.2">
      <c r="A307" s="250"/>
      <c r="B307" t="s">
        <v>48</v>
      </c>
      <c r="C307" s="20">
        <f>((1+$C$5)^A302)-1</f>
        <v>0.42576088684617863</v>
      </c>
      <c r="D307" s="20"/>
    </row>
    <row r="308" spans="1:52" ht="21" x14ac:dyDescent="0.25">
      <c r="A308" s="250"/>
      <c r="F308" s="6"/>
      <c r="G308" s="6"/>
      <c r="I308" s="251" t="s">
        <v>18</v>
      </c>
      <c r="J308" s="251"/>
      <c r="K308" s="251"/>
      <c r="L308" s="251"/>
      <c r="M308" s="251"/>
      <c r="N308" s="251"/>
      <c r="O308" s="251"/>
      <c r="P308" s="251"/>
      <c r="Q308" s="251"/>
      <c r="R308" s="251"/>
      <c r="S308" s="251"/>
      <c r="T308" s="251"/>
      <c r="U308" s="251"/>
      <c r="V308" s="251"/>
      <c r="W308" s="251"/>
      <c r="X308" s="251"/>
      <c r="Y308" s="251"/>
      <c r="Z308" s="251"/>
      <c r="AA308" s="251"/>
      <c r="AB308" s="251"/>
      <c r="AC308" s="251"/>
      <c r="AD308" s="251"/>
      <c r="AE308" s="107"/>
      <c r="AF308" s="107"/>
      <c r="AG308" s="107"/>
      <c r="AH308" s="107"/>
      <c r="AI308" s="107"/>
      <c r="AJ308" s="107"/>
      <c r="AK308" s="107"/>
      <c r="AL308" s="107"/>
    </row>
    <row r="309" spans="1:52" x14ac:dyDescent="0.2">
      <c r="A309" s="250" t="s">
        <v>51</v>
      </c>
      <c r="I309" s="255" t="s">
        <v>19</v>
      </c>
      <c r="J309" s="255"/>
      <c r="K309" s="255"/>
      <c r="L309" s="255"/>
      <c r="M309" s="255"/>
      <c r="N309" s="255"/>
      <c r="O309" s="255"/>
      <c r="P309" s="255"/>
      <c r="Q309" s="255"/>
      <c r="R309" s="255"/>
      <c r="S309" s="255"/>
      <c r="T309" s="255"/>
      <c r="U309" s="255"/>
      <c r="V309" s="255"/>
      <c r="W309" s="255"/>
      <c r="X309" s="255"/>
      <c r="Y309" s="255"/>
      <c r="Z309" s="255"/>
      <c r="AA309" s="255"/>
      <c r="AB309" s="255"/>
      <c r="AC309" s="255"/>
      <c r="AD309" s="255"/>
      <c r="AE309" s="115"/>
      <c r="AF309" s="115"/>
      <c r="AG309" s="115"/>
      <c r="AH309" s="115"/>
      <c r="AI309" s="115"/>
      <c r="AJ309" s="115"/>
      <c r="AK309" s="115"/>
      <c r="AL309" s="115"/>
    </row>
    <row r="310" spans="1:52" ht="49" thickBot="1" x14ac:dyDescent="0.25">
      <c r="A310" s="250"/>
      <c r="B310" s="22" t="s">
        <v>12</v>
      </c>
      <c r="C310" s="13" t="s">
        <v>15</v>
      </c>
      <c r="D310" s="13" t="s">
        <v>63</v>
      </c>
      <c r="E310" s="13" t="s">
        <v>29</v>
      </c>
      <c r="F310" s="13" t="s">
        <v>13</v>
      </c>
      <c r="G310" s="13" t="s">
        <v>50</v>
      </c>
      <c r="H310" s="13" t="s">
        <v>17</v>
      </c>
      <c r="I310" s="28" t="s">
        <v>20</v>
      </c>
      <c r="J310" s="28" t="s">
        <v>21</v>
      </c>
      <c r="K310" s="28"/>
      <c r="L310" s="28"/>
      <c r="M310" s="28"/>
      <c r="N310" s="28"/>
      <c r="O310" s="28" t="s">
        <v>22</v>
      </c>
      <c r="P310" s="28" t="s">
        <v>49</v>
      </c>
      <c r="Q310" s="28" t="s">
        <v>23</v>
      </c>
      <c r="R310" s="28"/>
      <c r="S310" s="28" t="s">
        <v>71</v>
      </c>
      <c r="T310" s="28"/>
      <c r="U310" s="28" t="s">
        <v>72</v>
      </c>
      <c r="V310" s="28"/>
      <c r="W310" s="28"/>
      <c r="X310" s="28"/>
      <c r="Y310" s="28"/>
      <c r="Z310" s="28"/>
      <c r="AA310" s="28"/>
      <c r="AB310" s="28" t="s">
        <v>24</v>
      </c>
      <c r="AC310" s="28"/>
      <c r="AD310" s="28" t="s">
        <v>25</v>
      </c>
      <c r="AE310" s="116"/>
      <c r="AF310" s="116"/>
      <c r="AG310" s="116"/>
      <c r="AH310" s="28" t="s">
        <v>25</v>
      </c>
      <c r="AI310" s="116"/>
      <c r="AJ310" s="116"/>
      <c r="AK310" s="116"/>
      <c r="AL310" s="116"/>
      <c r="AZ310" s="28" t="s">
        <v>32</v>
      </c>
    </row>
    <row r="311" spans="1:52" ht="16" thickTop="1" x14ac:dyDescent="0.2">
      <c r="A311" s="250"/>
      <c r="B311" s="14" t="s">
        <v>0</v>
      </c>
      <c r="C311" s="2">
        <f t="shared" ref="C311:C322" si="260">VLOOKUP($B311,$B$10:$Q$23,2,FALSE)*(1+$C$307)</f>
        <v>112572616.30277009</v>
      </c>
      <c r="D311" s="2">
        <f t="shared" ref="D311:D322" si="261">VLOOKUP($B311,$B$10:$Q$23,3,FALSE)*(1+$C$307)</f>
        <v>18293455.020921864</v>
      </c>
      <c r="E311" s="2" t="e">
        <f t="shared" ref="E311:E322" si="262">AZ286</f>
        <v>#DIV/0!</v>
      </c>
      <c r="F311" s="4" t="e">
        <f t="shared" ref="F311:F322" si="263">C311-E311-D311</f>
        <v>#DIV/0!</v>
      </c>
      <c r="G311" s="1" t="e">
        <f>1-H311</f>
        <v>#DIV/0!</v>
      </c>
      <c r="H311" s="1" t="e">
        <f t="shared" ref="H311:H323" si="264">MAX(0,F311/C311)</f>
        <v>#DIV/0!</v>
      </c>
      <c r="I311" s="29">
        <f>MIN($C$5,($C$4*0.5))*$C$8</f>
        <v>0.03</v>
      </c>
      <c r="J311" s="2" t="e">
        <f t="shared" ref="J311:J322" si="265">I311*E311</f>
        <v>#DIV/0!</v>
      </c>
      <c r="K311" s="2"/>
      <c r="L311" s="2"/>
      <c r="M311" s="2"/>
      <c r="N311" s="2"/>
      <c r="O311" s="16" t="e">
        <f t="shared" ref="O311:O322" si="266">H311/$H$324</f>
        <v>#DIV/0!</v>
      </c>
      <c r="P311" s="16" t="e">
        <f t="shared" ref="P311:P322" si="267">G311/$G$324</f>
        <v>#DIV/0!</v>
      </c>
      <c r="Q311" s="2" t="e">
        <f>$J$324*IF($J$324&lt;0,P311,O311)*0.5</f>
        <v>#DIV/0!</v>
      </c>
      <c r="R311" s="2"/>
      <c r="S311" s="16" t="e">
        <f t="shared" ref="S311:S322" si="268">MAX(F311,0)/$F$323</f>
        <v>#DIV/0!</v>
      </c>
      <c r="T311" s="16"/>
      <c r="U311" s="2" t="e">
        <f t="shared" ref="U311:U322" si="269">S311*$J$324*0.5</f>
        <v>#DIV/0!</v>
      </c>
      <c r="V311" s="2"/>
      <c r="W311" s="2"/>
      <c r="X311" s="2"/>
      <c r="Y311" s="2"/>
      <c r="Z311" s="2"/>
      <c r="AA311" s="2"/>
      <c r="AB311" s="2" t="e">
        <f t="shared" ref="AB311:AB322" si="270">J311+Q311+U311</f>
        <v>#DIV/0!</v>
      </c>
      <c r="AC311" s="2"/>
      <c r="AD311" s="16" t="e">
        <f t="shared" ref="AD311:AD323" si="271">AB311/E311</f>
        <v>#DIV/0!</v>
      </c>
      <c r="AE311" s="16"/>
      <c r="AF311" s="16"/>
      <c r="AG311" s="16"/>
      <c r="AH311" s="16" t="e">
        <f t="shared" ref="AH311:AH323" si="272">AG311/H311</f>
        <v>#DIV/0!</v>
      </c>
      <c r="AI311" s="16"/>
      <c r="AJ311" s="16"/>
      <c r="AK311" s="16"/>
      <c r="AL311" s="16"/>
      <c r="AZ311" s="2" t="e">
        <f t="shared" ref="AZ311:AZ322" si="273">AB311+E311</f>
        <v>#DIV/0!</v>
      </c>
    </row>
    <row r="312" spans="1:52" x14ac:dyDescent="0.2">
      <c r="A312" s="250"/>
      <c r="B312" s="14" t="s">
        <v>1</v>
      </c>
      <c r="C312" s="2">
        <f t="shared" si="260"/>
        <v>240016201.66363341</v>
      </c>
      <c r="D312" s="2">
        <f t="shared" si="261"/>
        <v>81229877.034204736</v>
      </c>
      <c r="E312" s="2" t="e">
        <f t="shared" si="262"/>
        <v>#DIV/0!</v>
      </c>
      <c r="F312" s="4" t="e">
        <f t="shared" si="263"/>
        <v>#DIV/0!</v>
      </c>
      <c r="G312" s="1" t="e">
        <f t="shared" ref="G312:G322" si="274">1-H312</f>
        <v>#DIV/0!</v>
      </c>
      <c r="H312" s="1" t="e">
        <f t="shared" si="264"/>
        <v>#DIV/0!</v>
      </c>
      <c r="I312" s="29">
        <f t="shared" ref="I312:I322" si="275">MIN($C$5,($C$4*0.5))*$C$8</f>
        <v>0.03</v>
      </c>
      <c r="J312" s="2" t="e">
        <f t="shared" si="265"/>
        <v>#DIV/0!</v>
      </c>
      <c r="K312" s="2"/>
      <c r="L312" s="2"/>
      <c r="M312" s="2"/>
      <c r="N312" s="2"/>
      <c r="O312" s="16" t="e">
        <f t="shared" si="266"/>
        <v>#DIV/0!</v>
      </c>
      <c r="P312" s="16" t="e">
        <f t="shared" si="267"/>
        <v>#DIV/0!</v>
      </c>
      <c r="Q312" s="2" t="e">
        <f t="shared" ref="Q312:Q322" si="276">$J$324*IF($J$324&lt;0,P312,O312)*0.5</f>
        <v>#DIV/0!</v>
      </c>
      <c r="R312" s="2"/>
      <c r="S312" s="16" t="e">
        <f t="shared" si="268"/>
        <v>#DIV/0!</v>
      </c>
      <c r="T312" s="16"/>
      <c r="U312" s="2" t="e">
        <f t="shared" si="269"/>
        <v>#DIV/0!</v>
      </c>
      <c r="V312" s="2"/>
      <c r="W312" s="2"/>
      <c r="X312" s="2"/>
      <c r="Y312" s="2"/>
      <c r="Z312" s="2"/>
      <c r="AA312" s="2"/>
      <c r="AB312" s="2" t="e">
        <f t="shared" si="270"/>
        <v>#DIV/0!</v>
      </c>
      <c r="AC312" s="2"/>
      <c r="AD312" s="16" t="e">
        <f t="shared" si="271"/>
        <v>#DIV/0!</v>
      </c>
      <c r="AE312" s="16"/>
      <c r="AF312" s="16"/>
      <c r="AG312" s="16"/>
      <c r="AH312" s="16" t="e">
        <f t="shared" si="272"/>
        <v>#DIV/0!</v>
      </c>
      <c r="AI312" s="16"/>
      <c r="AJ312" s="16"/>
      <c r="AK312" s="16"/>
      <c r="AL312" s="16"/>
      <c r="AZ312" s="2" t="e">
        <f t="shared" si="273"/>
        <v>#DIV/0!</v>
      </c>
    </row>
    <row r="313" spans="1:52" x14ac:dyDescent="0.2">
      <c r="A313" s="250"/>
      <c r="B313" s="14" t="s">
        <v>2</v>
      </c>
      <c r="C313" s="2">
        <f t="shared" si="260"/>
        <v>165608885.24459887</v>
      </c>
      <c r="D313" s="2">
        <f t="shared" si="261"/>
        <v>37820291.585314624</v>
      </c>
      <c r="E313" s="2" t="e">
        <f t="shared" si="262"/>
        <v>#DIV/0!</v>
      </c>
      <c r="F313" s="4" t="e">
        <f t="shared" si="263"/>
        <v>#DIV/0!</v>
      </c>
      <c r="G313" s="1" t="e">
        <f t="shared" si="274"/>
        <v>#DIV/0!</v>
      </c>
      <c r="H313" s="1" t="e">
        <f t="shared" si="264"/>
        <v>#DIV/0!</v>
      </c>
      <c r="I313" s="29">
        <f t="shared" si="275"/>
        <v>0.03</v>
      </c>
      <c r="J313" s="2" t="e">
        <f t="shared" si="265"/>
        <v>#DIV/0!</v>
      </c>
      <c r="K313" s="2"/>
      <c r="L313" s="2"/>
      <c r="M313" s="2"/>
      <c r="N313" s="2"/>
      <c r="O313" s="16" t="e">
        <f t="shared" si="266"/>
        <v>#DIV/0!</v>
      </c>
      <c r="P313" s="16" t="e">
        <f t="shared" si="267"/>
        <v>#DIV/0!</v>
      </c>
      <c r="Q313" s="2" t="e">
        <f t="shared" si="276"/>
        <v>#DIV/0!</v>
      </c>
      <c r="R313" s="2"/>
      <c r="S313" s="16" t="e">
        <f t="shared" si="268"/>
        <v>#DIV/0!</v>
      </c>
      <c r="T313" s="16"/>
      <c r="U313" s="2" t="e">
        <f t="shared" si="269"/>
        <v>#DIV/0!</v>
      </c>
      <c r="V313" s="2"/>
      <c r="W313" s="2"/>
      <c r="X313" s="2"/>
      <c r="Y313" s="2"/>
      <c r="Z313" s="2"/>
      <c r="AA313" s="2"/>
      <c r="AB313" s="2" t="e">
        <f t="shared" si="270"/>
        <v>#DIV/0!</v>
      </c>
      <c r="AC313" s="2"/>
      <c r="AD313" s="16" t="e">
        <f t="shared" si="271"/>
        <v>#DIV/0!</v>
      </c>
      <c r="AE313" s="16"/>
      <c r="AF313" s="16"/>
      <c r="AG313" s="16"/>
      <c r="AH313" s="16" t="e">
        <f t="shared" si="272"/>
        <v>#DIV/0!</v>
      </c>
      <c r="AI313" s="16"/>
      <c r="AJ313" s="16"/>
      <c r="AK313" s="16"/>
      <c r="AL313" s="16"/>
      <c r="AZ313" s="2" t="e">
        <f t="shared" si="273"/>
        <v>#DIV/0!</v>
      </c>
    </row>
    <row r="314" spans="1:52" x14ac:dyDescent="0.2">
      <c r="A314" s="250"/>
      <c r="B314" s="14" t="s">
        <v>3</v>
      </c>
      <c r="C314" s="2">
        <f t="shared" si="260"/>
        <v>682439719.40714812</v>
      </c>
      <c r="D314" s="2">
        <f t="shared" si="261"/>
        <v>269792091.12093735</v>
      </c>
      <c r="E314" s="2" t="e">
        <f t="shared" si="262"/>
        <v>#DIV/0!</v>
      </c>
      <c r="F314" s="4" t="e">
        <f t="shared" si="263"/>
        <v>#DIV/0!</v>
      </c>
      <c r="G314" s="1" t="e">
        <f t="shared" si="274"/>
        <v>#DIV/0!</v>
      </c>
      <c r="H314" s="1" t="e">
        <f t="shared" si="264"/>
        <v>#DIV/0!</v>
      </c>
      <c r="I314" s="29">
        <f t="shared" si="275"/>
        <v>0.03</v>
      </c>
      <c r="J314" s="2" t="e">
        <f t="shared" si="265"/>
        <v>#DIV/0!</v>
      </c>
      <c r="K314" s="2"/>
      <c r="L314" s="2"/>
      <c r="M314" s="2"/>
      <c r="N314" s="2"/>
      <c r="O314" s="16" t="e">
        <f t="shared" si="266"/>
        <v>#DIV/0!</v>
      </c>
      <c r="P314" s="16" t="e">
        <f t="shared" si="267"/>
        <v>#DIV/0!</v>
      </c>
      <c r="Q314" s="2" t="e">
        <f t="shared" si="276"/>
        <v>#DIV/0!</v>
      </c>
      <c r="R314" s="2"/>
      <c r="S314" s="16" t="e">
        <f t="shared" si="268"/>
        <v>#DIV/0!</v>
      </c>
      <c r="T314" s="16"/>
      <c r="U314" s="2" t="e">
        <f t="shared" si="269"/>
        <v>#DIV/0!</v>
      </c>
      <c r="V314" s="2"/>
      <c r="W314" s="2"/>
      <c r="X314" s="2"/>
      <c r="Y314" s="2"/>
      <c r="Z314" s="2"/>
      <c r="AA314" s="2"/>
      <c r="AB314" s="2" t="e">
        <f t="shared" si="270"/>
        <v>#DIV/0!</v>
      </c>
      <c r="AC314" s="2"/>
      <c r="AD314" s="16" t="e">
        <f t="shared" si="271"/>
        <v>#DIV/0!</v>
      </c>
      <c r="AE314" s="16"/>
      <c r="AF314" s="16"/>
      <c r="AG314" s="16"/>
      <c r="AH314" s="16" t="e">
        <f t="shared" si="272"/>
        <v>#DIV/0!</v>
      </c>
      <c r="AI314" s="16"/>
      <c r="AJ314" s="16"/>
      <c r="AK314" s="16"/>
      <c r="AL314" s="16"/>
      <c r="AZ314" s="2" t="e">
        <f t="shared" si="273"/>
        <v>#DIV/0!</v>
      </c>
    </row>
    <row r="315" spans="1:52" x14ac:dyDescent="0.2">
      <c r="A315" s="250"/>
      <c r="B315" s="14" t="s">
        <v>4</v>
      </c>
      <c r="C315" s="2">
        <f t="shared" si="260"/>
        <v>245663351.38250437</v>
      </c>
      <c r="D315" s="2">
        <f t="shared" si="261"/>
        <v>41478374.369612254</v>
      </c>
      <c r="E315" s="2" t="e">
        <f t="shared" si="262"/>
        <v>#DIV/0!</v>
      </c>
      <c r="F315" s="4" t="e">
        <f t="shared" si="263"/>
        <v>#DIV/0!</v>
      </c>
      <c r="G315" s="1" t="e">
        <f t="shared" si="274"/>
        <v>#DIV/0!</v>
      </c>
      <c r="H315" s="1" t="e">
        <f t="shared" si="264"/>
        <v>#DIV/0!</v>
      </c>
      <c r="I315" s="29">
        <f t="shared" si="275"/>
        <v>0.03</v>
      </c>
      <c r="J315" s="2" t="e">
        <f t="shared" si="265"/>
        <v>#DIV/0!</v>
      </c>
      <c r="K315" s="2"/>
      <c r="L315" s="2"/>
      <c r="M315" s="2"/>
      <c r="N315" s="2"/>
      <c r="O315" s="16" t="e">
        <f t="shared" si="266"/>
        <v>#DIV/0!</v>
      </c>
      <c r="P315" s="16" t="e">
        <f t="shared" si="267"/>
        <v>#DIV/0!</v>
      </c>
      <c r="Q315" s="2" t="e">
        <f t="shared" si="276"/>
        <v>#DIV/0!</v>
      </c>
      <c r="R315" s="2"/>
      <c r="S315" s="16" t="e">
        <f t="shared" si="268"/>
        <v>#DIV/0!</v>
      </c>
      <c r="T315" s="16"/>
      <c r="U315" s="2" t="e">
        <f t="shared" si="269"/>
        <v>#DIV/0!</v>
      </c>
      <c r="V315" s="2"/>
      <c r="W315" s="2"/>
      <c r="X315" s="2"/>
      <c r="Y315" s="2"/>
      <c r="Z315" s="2"/>
      <c r="AA315" s="2"/>
      <c r="AB315" s="2" t="e">
        <f t="shared" si="270"/>
        <v>#DIV/0!</v>
      </c>
      <c r="AC315" s="2"/>
      <c r="AD315" s="16" t="e">
        <f t="shared" si="271"/>
        <v>#DIV/0!</v>
      </c>
      <c r="AE315" s="16"/>
      <c r="AF315" s="16"/>
      <c r="AG315" s="16"/>
      <c r="AH315" s="16" t="e">
        <f t="shared" si="272"/>
        <v>#DIV/0!</v>
      </c>
      <c r="AI315" s="16"/>
      <c r="AJ315" s="16"/>
      <c r="AK315" s="16"/>
      <c r="AL315" s="16"/>
      <c r="AZ315" s="2" t="e">
        <f t="shared" si="273"/>
        <v>#DIV/0!</v>
      </c>
    </row>
    <row r="316" spans="1:52" x14ac:dyDescent="0.2">
      <c r="A316" s="250"/>
      <c r="B316" s="14" t="s">
        <v>5</v>
      </c>
      <c r="C316" s="2">
        <f t="shared" si="260"/>
        <v>581839414.83427894</v>
      </c>
      <c r="D316" s="2">
        <f t="shared" si="261"/>
        <v>185112061.01618195</v>
      </c>
      <c r="E316" s="2" t="e">
        <f t="shared" si="262"/>
        <v>#DIV/0!</v>
      </c>
      <c r="F316" s="4" t="e">
        <f t="shared" si="263"/>
        <v>#DIV/0!</v>
      </c>
      <c r="G316" s="1" t="e">
        <f t="shared" si="274"/>
        <v>#DIV/0!</v>
      </c>
      <c r="H316" s="1" t="e">
        <f t="shared" si="264"/>
        <v>#DIV/0!</v>
      </c>
      <c r="I316" s="29">
        <f t="shared" si="275"/>
        <v>0.03</v>
      </c>
      <c r="J316" s="2" t="e">
        <f t="shared" si="265"/>
        <v>#DIV/0!</v>
      </c>
      <c r="K316" s="2"/>
      <c r="L316" s="2"/>
      <c r="M316" s="2"/>
      <c r="N316" s="2"/>
      <c r="O316" s="16" t="e">
        <f t="shared" si="266"/>
        <v>#DIV/0!</v>
      </c>
      <c r="P316" s="16" t="e">
        <f t="shared" si="267"/>
        <v>#DIV/0!</v>
      </c>
      <c r="Q316" s="2" t="e">
        <f t="shared" si="276"/>
        <v>#DIV/0!</v>
      </c>
      <c r="R316" s="2"/>
      <c r="S316" s="16" t="e">
        <f t="shared" si="268"/>
        <v>#DIV/0!</v>
      </c>
      <c r="T316" s="16"/>
      <c r="U316" s="2" t="e">
        <f t="shared" si="269"/>
        <v>#DIV/0!</v>
      </c>
      <c r="V316" s="2"/>
      <c r="W316" s="2"/>
      <c r="X316" s="2"/>
      <c r="Y316" s="2"/>
      <c r="Z316" s="2"/>
      <c r="AA316" s="2"/>
      <c r="AB316" s="2" t="e">
        <f t="shared" si="270"/>
        <v>#DIV/0!</v>
      </c>
      <c r="AC316" s="2"/>
      <c r="AD316" s="16" t="e">
        <f t="shared" si="271"/>
        <v>#DIV/0!</v>
      </c>
      <c r="AE316" s="16"/>
      <c r="AF316" s="16"/>
      <c r="AG316" s="16"/>
      <c r="AH316" s="16" t="e">
        <f t="shared" si="272"/>
        <v>#DIV/0!</v>
      </c>
      <c r="AI316" s="16"/>
      <c r="AJ316" s="16"/>
      <c r="AK316" s="16"/>
      <c r="AL316" s="16"/>
      <c r="AZ316" s="2" t="e">
        <f t="shared" si="273"/>
        <v>#DIV/0!</v>
      </c>
    </row>
    <row r="317" spans="1:52" x14ac:dyDescent="0.2">
      <c r="A317" s="250"/>
      <c r="B317" s="14" t="s">
        <v>6</v>
      </c>
      <c r="C317" s="2">
        <f t="shared" si="260"/>
        <v>424301118.98709244</v>
      </c>
      <c r="D317" s="2">
        <f t="shared" si="261"/>
        <v>189963184.59065336</v>
      </c>
      <c r="E317" s="2" t="e">
        <f t="shared" si="262"/>
        <v>#DIV/0!</v>
      </c>
      <c r="F317" s="4" t="e">
        <f t="shared" si="263"/>
        <v>#DIV/0!</v>
      </c>
      <c r="G317" s="1" t="e">
        <f t="shared" si="274"/>
        <v>#DIV/0!</v>
      </c>
      <c r="H317" s="1" t="e">
        <f t="shared" si="264"/>
        <v>#DIV/0!</v>
      </c>
      <c r="I317" s="29">
        <f t="shared" si="275"/>
        <v>0.03</v>
      </c>
      <c r="J317" s="2" t="e">
        <f t="shared" si="265"/>
        <v>#DIV/0!</v>
      </c>
      <c r="K317" s="2"/>
      <c r="L317" s="2"/>
      <c r="M317" s="2"/>
      <c r="N317" s="2"/>
      <c r="O317" s="16" t="e">
        <f t="shared" si="266"/>
        <v>#DIV/0!</v>
      </c>
      <c r="P317" s="16" t="e">
        <f t="shared" si="267"/>
        <v>#DIV/0!</v>
      </c>
      <c r="Q317" s="2" t="e">
        <f t="shared" si="276"/>
        <v>#DIV/0!</v>
      </c>
      <c r="R317" s="2"/>
      <c r="S317" s="16" t="e">
        <f t="shared" si="268"/>
        <v>#DIV/0!</v>
      </c>
      <c r="T317" s="16"/>
      <c r="U317" s="2" t="e">
        <f t="shared" si="269"/>
        <v>#DIV/0!</v>
      </c>
      <c r="V317" s="2"/>
      <c r="W317" s="2"/>
      <c r="X317" s="2"/>
      <c r="Y317" s="2"/>
      <c r="Z317" s="2"/>
      <c r="AA317" s="2"/>
      <c r="AB317" s="2" t="e">
        <f t="shared" si="270"/>
        <v>#DIV/0!</v>
      </c>
      <c r="AC317" s="2"/>
      <c r="AD317" s="16" t="e">
        <f t="shared" si="271"/>
        <v>#DIV/0!</v>
      </c>
      <c r="AE317" s="16"/>
      <c r="AF317" s="16"/>
      <c r="AG317" s="16"/>
      <c r="AH317" s="16" t="e">
        <f t="shared" si="272"/>
        <v>#DIV/0!</v>
      </c>
      <c r="AI317" s="16"/>
      <c r="AJ317" s="16"/>
      <c r="AK317" s="16"/>
      <c r="AL317" s="16"/>
      <c r="AZ317" s="2" t="e">
        <f t="shared" si="273"/>
        <v>#DIV/0!</v>
      </c>
    </row>
    <row r="318" spans="1:52" x14ac:dyDescent="0.2">
      <c r="A318" s="250"/>
      <c r="B318" s="14" t="s">
        <v>7</v>
      </c>
      <c r="C318" s="2">
        <f t="shared" si="260"/>
        <v>470979609.49646258</v>
      </c>
      <c r="D318" s="2">
        <f t="shared" si="261"/>
        <v>195373112.4242368</v>
      </c>
      <c r="E318" s="2" t="e">
        <f t="shared" si="262"/>
        <v>#DIV/0!</v>
      </c>
      <c r="F318" s="4" t="e">
        <f t="shared" si="263"/>
        <v>#DIV/0!</v>
      </c>
      <c r="G318" s="1" t="e">
        <f t="shared" si="274"/>
        <v>#DIV/0!</v>
      </c>
      <c r="H318" s="1" t="e">
        <f t="shared" si="264"/>
        <v>#DIV/0!</v>
      </c>
      <c r="I318" s="29">
        <f t="shared" si="275"/>
        <v>0.03</v>
      </c>
      <c r="J318" s="2" t="e">
        <f t="shared" si="265"/>
        <v>#DIV/0!</v>
      </c>
      <c r="K318" s="2"/>
      <c r="L318" s="2"/>
      <c r="M318" s="2"/>
      <c r="N318" s="2"/>
      <c r="O318" s="16" t="e">
        <f t="shared" si="266"/>
        <v>#DIV/0!</v>
      </c>
      <c r="P318" s="16" t="e">
        <f t="shared" si="267"/>
        <v>#DIV/0!</v>
      </c>
      <c r="Q318" s="2" t="e">
        <f t="shared" si="276"/>
        <v>#DIV/0!</v>
      </c>
      <c r="R318" s="2"/>
      <c r="S318" s="16" t="e">
        <f t="shared" si="268"/>
        <v>#DIV/0!</v>
      </c>
      <c r="T318" s="16"/>
      <c r="U318" s="2" t="e">
        <f t="shared" si="269"/>
        <v>#DIV/0!</v>
      </c>
      <c r="V318" s="2"/>
      <c r="W318" s="2"/>
      <c r="X318" s="2"/>
      <c r="Y318" s="2"/>
      <c r="Z318" s="2"/>
      <c r="AA318" s="2"/>
      <c r="AB318" s="2" t="e">
        <f t="shared" si="270"/>
        <v>#DIV/0!</v>
      </c>
      <c r="AC318" s="2"/>
      <c r="AD318" s="16" t="e">
        <f t="shared" si="271"/>
        <v>#DIV/0!</v>
      </c>
      <c r="AE318" s="16"/>
      <c r="AF318" s="16"/>
      <c r="AG318" s="16"/>
      <c r="AH318" s="16" t="e">
        <f t="shared" si="272"/>
        <v>#DIV/0!</v>
      </c>
      <c r="AI318" s="16"/>
      <c r="AJ318" s="16"/>
      <c r="AK318" s="16"/>
      <c r="AL318" s="16"/>
      <c r="AZ318" s="2" t="e">
        <f t="shared" si="273"/>
        <v>#DIV/0!</v>
      </c>
    </row>
    <row r="319" spans="1:52" x14ac:dyDescent="0.2">
      <c r="A319" s="250"/>
      <c r="B319" s="14" t="s">
        <v>8</v>
      </c>
      <c r="C319" s="2">
        <f t="shared" si="260"/>
        <v>1327270171.1843896</v>
      </c>
      <c r="D319" s="2">
        <f t="shared" si="261"/>
        <v>457524185.38900089</v>
      </c>
      <c r="E319" s="2" t="e">
        <f t="shared" si="262"/>
        <v>#DIV/0!</v>
      </c>
      <c r="F319" s="4" t="e">
        <f t="shared" si="263"/>
        <v>#DIV/0!</v>
      </c>
      <c r="G319" s="1" t="e">
        <f t="shared" si="274"/>
        <v>#DIV/0!</v>
      </c>
      <c r="H319" s="1" t="e">
        <f t="shared" si="264"/>
        <v>#DIV/0!</v>
      </c>
      <c r="I319" s="29">
        <f t="shared" si="275"/>
        <v>0.03</v>
      </c>
      <c r="J319" s="2" t="e">
        <f t="shared" si="265"/>
        <v>#DIV/0!</v>
      </c>
      <c r="K319" s="2"/>
      <c r="L319" s="2"/>
      <c r="M319" s="2"/>
      <c r="N319" s="2"/>
      <c r="O319" s="16" t="e">
        <f t="shared" si="266"/>
        <v>#DIV/0!</v>
      </c>
      <c r="P319" s="16" t="e">
        <f t="shared" si="267"/>
        <v>#DIV/0!</v>
      </c>
      <c r="Q319" s="2" t="e">
        <f t="shared" si="276"/>
        <v>#DIV/0!</v>
      </c>
      <c r="R319" s="2"/>
      <c r="S319" s="16" t="e">
        <f t="shared" si="268"/>
        <v>#DIV/0!</v>
      </c>
      <c r="T319" s="16"/>
      <c r="U319" s="2" t="e">
        <f t="shared" si="269"/>
        <v>#DIV/0!</v>
      </c>
      <c r="V319" s="2"/>
      <c r="W319" s="2"/>
      <c r="X319" s="2"/>
      <c r="Y319" s="2"/>
      <c r="Z319" s="2"/>
      <c r="AA319" s="2"/>
      <c r="AB319" s="2" t="e">
        <f t="shared" si="270"/>
        <v>#DIV/0!</v>
      </c>
      <c r="AC319" s="2"/>
      <c r="AD319" s="16" t="e">
        <f t="shared" si="271"/>
        <v>#DIV/0!</v>
      </c>
      <c r="AE319" s="16"/>
      <c r="AF319" s="16"/>
      <c r="AG319" s="16"/>
      <c r="AH319" s="16" t="e">
        <f t="shared" si="272"/>
        <v>#DIV/0!</v>
      </c>
      <c r="AI319" s="16"/>
      <c r="AJ319" s="16"/>
      <c r="AK319" s="16"/>
      <c r="AL319" s="16"/>
      <c r="AZ319" s="2" t="e">
        <f t="shared" si="273"/>
        <v>#DIV/0!</v>
      </c>
    </row>
    <row r="320" spans="1:52" x14ac:dyDescent="0.2">
      <c r="A320" s="250"/>
      <c r="B320" s="14" t="s">
        <v>9</v>
      </c>
      <c r="C320" s="2">
        <f t="shared" si="260"/>
        <v>133617806.09473206</v>
      </c>
      <c r="D320" s="2">
        <f t="shared" si="261"/>
        <v>57415341.227548003</v>
      </c>
      <c r="E320" s="2" t="e">
        <f t="shared" si="262"/>
        <v>#DIV/0!</v>
      </c>
      <c r="F320" s="4" t="e">
        <f t="shared" si="263"/>
        <v>#DIV/0!</v>
      </c>
      <c r="G320" s="1" t="e">
        <f t="shared" si="274"/>
        <v>#DIV/0!</v>
      </c>
      <c r="H320" s="1" t="e">
        <f t="shared" si="264"/>
        <v>#DIV/0!</v>
      </c>
      <c r="I320" s="29">
        <f t="shared" si="275"/>
        <v>0.03</v>
      </c>
      <c r="J320" s="2" t="e">
        <f t="shared" si="265"/>
        <v>#DIV/0!</v>
      </c>
      <c r="K320" s="2"/>
      <c r="L320" s="2"/>
      <c r="M320" s="2"/>
      <c r="N320" s="2"/>
      <c r="O320" s="16" t="e">
        <f t="shared" si="266"/>
        <v>#DIV/0!</v>
      </c>
      <c r="P320" s="16" t="e">
        <f t="shared" si="267"/>
        <v>#DIV/0!</v>
      </c>
      <c r="Q320" s="2" t="e">
        <f t="shared" si="276"/>
        <v>#DIV/0!</v>
      </c>
      <c r="R320" s="2"/>
      <c r="S320" s="16" t="e">
        <f t="shared" si="268"/>
        <v>#DIV/0!</v>
      </c>
      <c r="T320" s="16"/>
      <c r="U320" s="2" t="e">
        <f t="shared" si="269"/>
        <v>#DIV/0!</v>
      </c>
      <c r="V320" s="2"/>
      <c r="W320" s="2"/>
      <c r="X320" s="2"/>
      <c r="Y320" s="2"/>
      <c r="Z320" s="2"/>
      <c r="AA320" s="2"/>
      <c r="AB320" s="2" t="e">
        <f t="shared" si="270"/>
        <v>#DIV/0!</v>
      </c>
      <c r="AC320" s="2"/>
      <c r="AD320" s="16" t="e">
        <f t="shared" si="271"/>
        <v>#DIV/0!</v>
      </c>
      <c r="AE320" s="16"/>
      <c r="AF320" s="16"/>
      <c r="AG320" s="16"/>
      <c r="AH320" s="16" t="e">
        <f t="shared" si="272"/>
        <v>#DIV/0!</v>
      </c>
      <c r="AI320" s="16"/>
      <c r="AJ320" s="16"/>
      <c r="AK320" s="16"/>
      <c r="AL320" s="16"/>
      <c r="AZ320" s="2" t="e">
        <f t="shared" si="273"/>
        <v>#DIV/0!</v>
      </c>
    </row>
    <row r="321" spans="1:52" x14ac:dyDescent="0.2">
      <c r="A321" s="250"/>
      <c r="B321" s="14" t="s">
        <v>10</v>
      </c>
      <c r="C321" s="2">
        <f t="shared" si="260"/>
        <v>1780282367.6270525</v>
      </c>
      <c r="D321" s="2">
        <f t="shared" si="261"/>
        <v>1150614685.1212018</v>
      </c>
      <c r="E321" s="2" t="e">
        <f t="shared" si="262"/>
        <v>#DIV/0!</v>
      </c>
      <c r="F321" s="4" t="e">
        <f t="shared" si="263"/>
        <v>#DIV/0!</v>
      </c>
      <c r="G321" s="1" t="e">
        <f t="shared" si="274"/>
        <v>#DIV/0!</v>
      </c>
      <c r="H321" s="1" t="e">
        <f t="shared" si="264"/>
        <v>#DIV/0!</v>
      </c>
      <c r="I321" s="29">
        <f t="shared" si="275"/>
        <v>0.03</v>
      </c>
      <c r="J321" s="2" t="e">
        <f t="shared" si="265"/>
        <v>#DIV/0!</v>
      </c>
      <c r="K321" s="2"/>
      <c r="L321" s="2"/>
      <c r="M321" s="2"/>
      <c r="N321" s="2"/>
      <c r="O321" s="16" t="e">
        <f t="shared" si="266"/>
        <v>#DIV/0!</v>
      </c>
      <c r="P321" s="16" t="e">
        <f t="shared" si="267"/>
        <v>#DIV/0!</v>
      </c>
      <c r="Q321" s="2" t="e">
        <f t="shared" si="276"/>
        <v>#DIV/0!</v>
      </c>
      <c r="R321" s="2"/>
      <c r="S321" s="16" t="e">
        <f t="shared" si="268"/>
        <v>#DIV/0!</v>
      </c>
      <c r="T321" s="16"/>
      <c r="U321" s="2" t="e">
        <f t="shared" si="269"/>
        <v>#DIV/0!</v>
      </c>
      <c r="V321" s="2"/>
      <c r="W321" s="2"/>
      <c r="X321" s="2"/>
      <c r="Y321" s="2"/>
      <c r="Z321" s="2"/>
      <c r="AA321" s="2"/>
      <c r="AB321" s="2" t="e">
        <f t="shared" si="270"/>
        <v>#DIV/0!</v>
      </c>
      <c r="AC321" s="2"/>
      <c r="AD321" s="16" t="e">
        <f t="shared" si="271"/>
        <v>#DIV/0!</v>
      </c>
      <c r="AE321" s="16"/>
      <c r="AF321" s="16"/>
      <c r="AG321" s="16"/>
      <c r="AH321" s="16" t="e">
        <f t="shared" si="272"/>
        <v>#DIV/0!</v>
      </c>
      <c r="AI321" s="16"/>
      <c r="AJ321" s="16"/>
      <c r="AK321" s="16"/>
      <c r="AL321" s="16"/>
      <c r="AZ321" s="2" t="e">
        <f t="shared" si="273"/>
        <v>#DIV/0!</v>
      </c>
    </row>
    <row r="322" spans="1:52" x14ac:dyDescent="0.2">
      <c r="A322" s="250"/>
      <c r="B322" s="14" t="s">
        <v>11</v>
      </c>
      <c r="C322" s="2">
        <f t="shared" si="260"/>
        <v>283804554.01245904</v>
      </c>
      <c r="D322" s="2">
        <f t="shared" si="261"/>
        <v>99944996.18174164</v>
      </c>
      <c r="E322" s="2" t="e">
        <f t="shared" si="262"/>
        <v>#DIV/0!</v>
      </c>
      <c r="F322" s="4" t="e">
        <f t="shared" si="263"/>
        <v>#DIV/0!</v>
      </c>
      <c r="G322" s="1" t="e">
        <f t="shared" si="274"/>
        <v>#DIV/0!</v>
      </c>
      <c r="H322" s="1" t="e">
        <f t="shared" si="264"/>
        <v>#DIV/0!</v>
      </c>
      <c r="I322" s="29">
        <f t="shared" si="275"/>
        <v>0.03</v>
      </c>
      <c r="J322" s="2" t="e">
        <f t="shared" si="265"/>
        <v>#DIV/0!</v>
      </c>
      <c r="K322" s="2"/>
      <c r="L322" s="2"/>
      <c r="M322" s="2"/>
      <c r="N322" s="2"/>
      <c r="O322" s="16" t="e">
        <f t="shared" si="266"/>
        <v>#DIV/0!</v>
      </c>
      <c r="P322" s="16" t="e">
        <f t="shared" si="267"/>
        <v>#DIV/0!</v>
      </c>
      <c r="Q322" s="2" t="e">
        <f t="shared" si="276"/>
        <v>#DIV/0!</v>
      </c>
      <c r="R322" s="2"/>
      <c r="S322" s="16" t="e">
        <f t="shared" si="268"/>
        <v>#DIV/0!</v>
      </c>
      <c r="T322" s="16"/>
      <c r="U322" s="2" t="e">
        <f t="shared" si="269"/>
        <v>#DIV/0!</v>
      </c>
      <c r="V322" s="2"/>
      <c r="W322" s="2"/>
      <c r="X322" s="2"/>
      <c r="Y322" s="2"/>
      <c r="Z322" s="2"/>
      <c r="AA322" s="2"/>
      <c r="AB322" s="2" t="e">
        <f t="shared" si="270"/>
        <v>#DIV/0!</v>
      </c>
      <c r="AC322" s="2"/>
      <c r="AD322" s="16" t="e">
        <f t="shared" si="271"/>
        <v>#DIV/0!</v>
      </c>
      <c r="AE322" s="16"/>
      <c r="AF322" s="16"/>
      <c r="AG322" s="16"/>
      <c r="AH322" s="16" t="e">
        <f t="shared" si="272"/>
        <v>#DIV/0!</v>
      </c>
      <c r="AI322" s="16"/>
      <c r="AJ322" s="16"/>
      <c r="AK322" s="16"/>
      <c r="AL322" s="16"/>
      <c r="AZ322" s="2" t="e">
        <f t="shared" si="273"/>
        <v>#DIV/0!</v>
      </c>
    </row>
    <row r="323" spans="1:52" x14ac:dyDescent="0.2">
      <c r="A323" s="250"/>
      <c r="B323" s="15" t="s">
        <v>14</v>
      </c>
      <c r="C323" s="30">
        <f>SUM(C311:C322)</f>
        <v>6448395816.2371216</v>
      </c>
      <c r="D323" s="30">
        <f>SUM(D311:D322)</f>
        <v>2784561655.0815554</v>
      </c>
      <c r="E323" s="30" t="e">
        <f>SUM(E311:E322)</f>
        <v>#DIV/0!</v>
      </c>
      <c r="F323" s="30" t="e">
        <f>SUM(F311:F322)</f>
        <v>#DIV/0!</v>
      </c>
      <c r="G323" s="1" t="e">
        <f>1-H323</f>
        <v>#DIV/0!</v>
      </c>
      <c r="H323" s="11" t="e">
        <f t="shared" si="264"/>
        <v>#DIV/0!</v>
      </c>
      <c r="J323" s="30" t="e">
        <f>SUM(J311:J322)</f>
        <v>#DIV/0!</v>
      </c>
      <c r="K323" s="30"/>
      <c r="L323" s="30"/>
      <c r="M323" s="30"/>
      <c r="N323" s="30"/>
      <c r="O323" s="16"/>
      <c r="P323" s="16"/>
      <c r="Q323" s="30" t="e">
        <f>SUM(Q311:Q322)</f>
        <v>#DIV/0!</v>
      </c>
      <c r="R323" s="30"/>
      <c r="S323" s="30"/>
      <c r="T323" s="30"/>
      <c r="U323" s="30" t="e">
        <f>SUM(U311:U322)</f>
        <v>#DIV/0!</v>
      </c>
      <c r="V323" s="30"/>
      <c r="W323" s="30"/>
      <c r="X323" s="30"/>
      <c r="Y323" s="30"/>
      <c r="Z323" s="30"/>
      <c r="AA323" s="30"/>
      <c r="AB323" s="30" t="e">
        <f>SUM(AB311:AB322)</f>
        <v>#DIV/0!</v>
      </c>
      <c r="AC323" s="30"/>
      <c r="AD323" s="16" t="e">
        <f t="shared" si="271"/>
        <v>#DIV/0!</v>
      </c>
      <c r="AE323" s="16"/>
      <c r="AF323" s="16"/>
      <c r="AG323" s="16"/>
      <c r="AH323" s="16" t="e">
        <f t="shared" si="272"/>
        <v>#DIV/0!</v>
      </c>
      <c r="AI323" s="16"/>
      <c r="AJ323" s="16"/>
      <c r="AK323" s="16"/>
      <c r="AL323" s="16"/>
      <c r="AZ323" s="3" t="e">
        <f>SUM(AZ311:AZ322)</f>
        <v>#DIV/0!</v>
      </c>
    </row>
    <row r="324" spans="1:52" x14ac:dyDescent="0.2">
      <c r="C324" s="30"/>
      <c r="D324" s="30"/>
      <c r="E324" s="30"/>
      <c r="F324" s="30"/>
      <c r="G324" s="21" t="e">
        <f>SUM(G311:G322)</f>
        <v>#DIV/0!</v>
      </c>
      <c r="H324" s="21" t="e">
        <f>SUM(H311:H322)</f>
        <v>#DIV/0!</v>
      </c>
      <c r="I324" s="10" t="s">
        <v>30</v>
      </c>
      <c r="J324" s="17" t="e">
        <f>C306-SUM(J311:J322)</f>
        <v>#DIV/0!</v>
      </c>
      <c r="K324" s="17"/>
      <c r="L324" s="17"/>
      <c r="M324" s="17"/>
      <c r="N324" s="17"/>
    </row>
    <row r="326" spans="1:52" x14ac:dyDescent="0.2">
      <c r="B326" s="5"/>
      <c r="C326" s="8"/>
      <c r="D326" s="8"/>
      <c r="E326" s="8"/>
      <c r="F326" s="8"/>
      <c r="G326" s="8"/>
    </row>
    <row r="327" spans="1:52" x14ac:dyDescent="0.2">
      <c r="A327" s="250">
        <v>13</v>
      </c>
      <c r="B327" t="s">
        <v>34</v>
      </c>
      <c r="C327" s="4" t="e">
        <f>AZ323</f>
        <v>#DIV/0!</v>
      </c>
      <c r="D327" s="4"/>
    </row>
    <row r="328" spans="1:52" x14ac:dyDescent="0.2">
      <c r="A328" s="250"/>
      <c r="B328" t="s">
        <v>27</v>
      </c>
      <c r="C328" s="6" t="e">
        <f>C327*(1+C329)</f>
        <v>#DIV/0!</v>
      </c>
      <c r="D328" s="6"/>
    </row>
    <row r="329" spans="1:52" x14ac:dyDescent="0.2">
      <c r="A329" s="250"/>
      <c r="B329" t="s">
        <v>28</v>
      </c>
      <c r="C329" s="20">
        <f>C4</f>
        <v>0.12</v>
      </c>
      <c r="D329" s="20"/>
    </row>
    <row r="330" spans="1:52" x14ac:dyDescent="0.2">
      <c r="A330" s="250"/>
      <c r="B330" t="s">
        <v>16</v>
      </c>
      <c r="C330" s="20">
        <f>C5</f>
        <v>0.03</v>
      </c>
      <c r="D330" s="20"/>
    </row>
    <row r="331" spans="1:52" x14ac:dyDescent="0.2">
      <c r="A331" s="250"/>
      <c r="B331" t="s">
        <v>31</v>
      </c>
      <c r="C331" s="6" t="e">
        <f>C328-C327</f>
        <v>#DIV/0!</v>
      </c>
      <c r="D331" s="6"/>
    </row>
    <row r="332" spans="1:52" x14ac:dyDescent="0.2">
      <c r="A332" s="250"/>
      <c r="B332" t="s">
        <v>48</v>
      </c>
      <c r="C332" s="20">
        <f>((1+$C$5)^A327)-1</f>
        <v>0.46853371345156392</v>
      </c>
      <c r="D332" s="20"/>
    </row>
    <row r="333" spans="1:52" ht="21" x14ac:dyDescent="0.25">
      <c r="A333" s="250"/>
      <c r="F333" s="6"/>
      <c r="G333" s="6"/>
      <c r="I333" s="251" t="s">
        <v>18</v>
      </c>
      <c r="J333" s="251"/>
      <c r="K333" s="251"/>
      <c r="L333" s="251"/>
      <c r="M333" s="251"/>
      <c r="N333" s="251"/>
      <c r="O333" s="251"/>
      <c r="P333" s="251"/>
      <c r="Q333" s="251"/>
      <c r="R333" s="251"/>
      <c r="S333" s="251"/>
      <c r="T333" s="251"/>
      <c r="U333" s="251"/>
      <c r="V333" s="251"/>
      <c r="W333" s="251"/>
      <c r="X333" s="251"/>
      <c r="Y333" s="251"/>
      <c r="Z333" s="251"/>
      <c r="AA333" s="251"/>
      <c r="AB333" s="251"/>
      <c r="AC333" s="251"/>
      <c r="AD333" s="251"/>
      <c r="AE333" s="107"/>
      <c r="AF333" s="107"/>
      <c r="AG333" s="107"/>
      <c r="AH333" s="107"/>
      <c r="AI333" s="107"/>
      <c r="AJ333" s="107"/>
      <c r="AK333" s="107"/>
      <c r="AL333" s="107"/>
    </row>
    <row r="334" spans="1:52" x14ac:dyDescent="0.2">
      <c r="A334" s="250" t="s">
        <v>51</v>
      </c>
      <c r="I334" s="255" t="s">
        <v>19</v>
      </c>
      <c r="J334" s="255"/>
      <c r="K334" s="255"/>
      <c r="L334" s="255"/>
      <c r="M334" s="255"/>
      <c r="N334" s="255"/>
      <c r="O334" s="255"/>
      <c r="P334" s="255"/>
      <c r="Q334" s="255"/>
      <c r="R334" s="255"/>
      <c r="S334" s="255"/>
      <c r="T334" s="255"/>
      <c r="U334" s="255"/>
      <c r="V334" s="255"/>
      <c r="W334" s="255"/>
      <c r="X334" s="255"/>
      <c r="Y334" s="255"/>
      <c r="Z334" s="255"/>
      <c r="AA334" s="255"/>
      <c r="AB334" s="255"/>
      <c r="AC334" s="255"/>
      <c r="AD334" s="255"/>
      <c r="AE334" s="115"/>
      <c r="AF334" s="115"/>
      <c r="AG334" s="115"/>
      <c r="AH334" s="115"/>
      <c r="AI334" s="115"/>
      <c r="AJ334" s="115"/>
      <c r="AK334" s="115"/>
      <c r="AL334" s="115"/>
    </row>
    <row r="335" spans="1:52" ht="49" thickBot="1" x14ac:dyDescent="0.25">
      <c r="A335" s="250"/>
      <c r="B335" s="22" t="s">
        <v>12</v>
      </c>
      <c r="C335" s="13" t="s">
        <v>15</v>
      </c>
      <c r="D335" s="13" t="s">
        <v>63</v>
      </c>
      <c r="E335" s="13" t="s">
        <v>29</v>
      </c>
      <c r="F335" s="13" t="s">
        <v>13</v>
      </c>
      <c r="G335" s="13" t="s">
        <v>50</v>
      </c>
      <c r="H335" s="13" t="s">
        <v>17</v>
      </c>
      <c r="I335" s="28" t="s">
        <v>20</v>
      </c>
      <c r="J335" s="28" t="s">
        <v>21</v>
      </c>
      <c r="K335" s="28"/>
      <c r="L335" s="28"/>
      <c r="M335" s="28"/>
      <c r="N335" s="28"/>
      <c r="O335" s="28" t="s">
        <v>22</v>
      </c>
      <c r="P335" s="28" t="s">
        <v>49</v>
      </c>
      <c r="Q335" s="28" t="s">
        <v>23</v>
      </c>
      <c r="R335" s="28"/>
      <c r="S335" s="28" t="s">
        <v>71</v>
      </c>
      <c r="T335" s="28"/>
      <c r="U335" s="28" t="s">
        <v>72</v>
      </c>
      <c r="V335" s="28"/>
      <c r="W335" s="28"/>
      <c r="X335" s="28"/>
      <c r="Y335" s="28"/>
      <c r="Z335" s="28"/>
      <c r="AA335" s="28"/>
      <c r="AB335" s="28" t="s">
        <v>24</v>
      </c>
      <c r="AC335" s="28"/>
      <c r="AD335" s="28" t="s">
        <v>25</v>
      </c>
      <c r="AE335" s="116"/>
      <c r="AF335" s="116"/>
      <c r="AG335" s="116"/>
      <c r="AH335" s="28" t="s">
        <v>25</v>
      </c>
      <c r="AI335" s="116"/>
      <c r="AJ335" s="116"/>
      <c r="AK335" s="116"/>
      <c r="AL335" s="116"/>
      <c r="AZ335" s="28" t="s">
        <v>32</v>
      </c>
    </row>
    <row r="336" spans="1:52" ht="16" thickTop="1" x14ac:dyDescent="0.2">
      <c r="A336" s="250"/>
      <c r="B336" s="14" t="s">
        <v>0</v>
      </c>
      <c r="C336" s="2">
        <f t="shared" ref="C336:C347" si="277">VLOOKUP($B336,$B$10:$Q$23,2,FALSE)*(1+$C$332)</f>
        <v>115949794.79185319</v>
      </c>
      <c r="D336" s="2">
        <f t="shared" ref="D336:D347" si="278">VLOOKUP($B336,$B$10:$Q$23,3,FALSE)*(1+$C$332)</f>
        <v>18842258.671549518</v>
      </c>
      <c r="E336" s="2" t="e">
        <f t="shared" ref="E336:E347" si="279">AZ311</f>
        <v>#DIV/0!</v>
      </c>
      <c r="F336" s="4" t="e">
        <f t="shared" ref="F336:F347" si="280">C336-E336-D336</f>
        <v>#DIV/0!</v>
      </c>
      <c r="G336" s="1" t="e">
        <f>1-H336</f>
        <v>#DIV/0!</v>
      </c>
      <c r="H336" s="1" t="e">
        <f t="shared" ref="H336:H348" si="281">MAX(0,F336/C336)</f>
        <v>#DIV/0!</v>
      </c>
      <c r="I336" s="29">
        <f>MIN($C$5,($C$4*0.5))*$C$8</f>
        <v>0.03</v>
      </c>
      <c r="J336" s="2" t="e">
        <f>I336*E336</f>
        <v>#DIV/0!</v>
      </c>
      <c r="K336" s="2"/>
      <c r="L336" s="2"/>
      <c r="M336" s="2"/>
      <c r="N336" s="2"/>
      <c r="O336" s="16" t="e">
        <f t="shared" ref="O336:O347" si="282">H336/$H$349</f>
        <v>#DIV/0!</v>
      </c>
      <c r="P336" s="16" t="e">
        <f t="shared" ref="P336:P347" si="283">G336/$G$349</f>
        <v>#DIV/0!</v>
      </c>
      <c r="Q336" s="2" t="e">
        <f>$J$349*IF($J$324&lt;0,P336,O336)*0.5</f>
        <v>#DIV/0!</v>
      </c>
      <c r="R336" s="2"/>
      <c r="S336" s="16" t="e">
        <f t="shared" ref="S336:S347" si="284">MAX(F336,0)/$F$348</f>
        <v>#DIV/0!</v>
      </c>
      <c r="T336" s="16"/>
      <c r="U336" s="2" t="e">
        <f t="shared" ref="U336:U347" si="285">S336*$J$349*0.5</f>
        <v>#DIV/0!</v>
      </c>
      <c r="V336" s="2"/>
      <c r="W336" s="2"/>
      <c r="X336" s="2"/>
      <c r="Y336" s="2"/>
      <c r="Z336" s="2"/>
      <c r="AA336" s="2"/>
      <c r="AB336" s="2" t="e">
        <f t="shared" ref="AB336:AB347" si="286">J336+Q336+U336</f>
        <v>#DIV/0!</v>
      </c>
      <c r="AC336" s="2"/>
      <c r="AD336" s="16" t="e">
        <f t="shared" ref="AD336:AD348" si="287">AB336/E336</f>
        <v>#DIV/0!</v>
      </c>
      <c r="AE336" s="16"/>
      <c r="AF336" s="16"/>
      <c r="AG336" s="16"/>
      <c r="AH336" s="16" t="e">
        <f t="shared" ref="AH336:AH348" si="288">AG336/H336</f>
        <v>#DIV/0!</v>
      </c>
      <c r="AI336" s="16"/>
      <c r="AJ336" s="16"/>
      <c r="AK336" s="16"/>
      <c r="AL336" s="16"/>
      <c r="AZ336" s="2" t="e">
        <f t="shared" ref="AZ336:AZ347" si="289">AB336+E336</f>
        <v>#DIV/0!</v>
      </c>
    </row>
    <row r="337" spans="1:52" x14ac:dyDescent="0.2">
      <c r="A337" s="250"/>
      <c r="B337" s="14" t="s">
        <v>1</v>
      </c>
      <c r="C337" s="2">
        <f t="shared" si="277"/>
        <v>247216687.7135424</v>
      </c>
      <c r="D337" s="2">
        <f t="shared" si="278"/>
        <v>83666773.345230862</v>
      </c>
      <c r="E337" s="2" t="e">
        <f t="shared" si="279"/>
        <v>#DIV/0!</v>
      </c>
      <c r="F337" s="4" t="e">
        <f t="shared" si="280"/>
        <v>#DIV/0!</v>
      </c>
      <c r="G337" s="1" t="e">
        <f t="shared" ref="G337:G347" si="290">1-H337</f>
        <v>#DIV/0!</v>
      </c>
      <c r="H337" s="1" t="e">
        <f t="shared" si="281"/>
        <v>#DIV/0!</v>
      </c>
      <c r="I337" s="29">
        <f t="shared" ref="I337:I347" si="291">MIN($C$5,($C$4*0.5))*$C$8</f>
        <v>0.03</v>
      </c>
      <c r="J337" s="2" t="e">
        <f t="shared" ref="J337:J347" si="292">I337*E337</f>
        <v>#DIV/0!</v>
      </c>
      <c r="K337" s="2"/>
      <c r="L337" s="2"/>
      <c r="M337" s="2"/>
      <c r="N337" s="2"/>
      <c r="O337" s="16" t="e">
        <f t="shared" si="282"/>
        <v>#DIV/0!</v>
      </c>
      <c r="P337" s="16" t="e">
        <f t="shared" si="283"/>
        <v>#DIV/0!</v>
      </c>
      <c r="Q337" s="2" t="e">
        <f t="shared" ref="Q337:Q347" si="293">$J$349*IF($J$324&lt;0,P337,O337)*0.5</f>
        <v>#DIV/0!</v>
      </c>
      <c r="R337" s="2"/>
      <c r="S337" s="16" t="e">
        <f t="shared" si="284"/>
        <v>#DIV/0!</v>
      </c>
      <c r="T337" s="16"/>
      <c r="U337" s="2" t="e">
        <f t="shared" si="285"/>
        <v>#DIV/0!</v>
      </c>
      <c r="V337" s="2"/>
      <c r="W337" s="2"/>
      <c r="X337" s="2"/>
      <c r="Y337" s="2"/>
      <c r="Z337" s="2"/>
      <c r="AA337" s="2"/>
      <c r="AB337" s="2" t="e">
        <f t="shared" si="286"/>
        <v>#DIV/0!</v>
      </c>
      <c r="AC337" s="2"/>
      <c r="AD337" s="16" t="e">
        <f t="shared" si="287"/>
        <v>#DIV/0!</v>
      </c>
      <c r="AE337" s="16"/>
      <c r="AF337" s="16"/>
      <c r="AG337" s="16"/>
      <c r="AH337" s="16" t="e">
        <f t="shared" si="288"/>
        <v>#DIV/0!</v>
      </c>
      <c r="AI337" s="16"/>
      <c r="AJ337" s="16"/>
      <c r="AK337" s="16"/>
      <c r="AL337" s="16"/>
      <c r="AZ337" s="2" t="e">
        <f t="shared" si="289"/>
        <v>#DIV/0!</v>
      </c>
    </row>
    <row r="338" spans="1:52" x14ac:dyDescent="0.2">
      <c r="A338" s="250"/>
      <c r="B338" s="14" t="s">
        <v>2</v>
      </c>
      <c r="C338" s="2">
        <f t="shared" si="277"/>
        <v>170577151.80193681</v>
      </c>
      <c r="D338" s="2">
        <f t="shared" si="278"/>
        <v>38954900.332874067</v>
      </c>
      <c r="E338" s="2" t="e">
        <f t="shared" si="279"/>
        <v>#DIV/0!</v>
      </c>
      <c r="F338" s="4" t="e">
        <f t="shared" si="280"/>
        <v>#DIV/0!</v>
      </c>
      <c r="G338" s="1" t="e">
        <f t="shared" si="290"/>
        <v>#DIV/0!</v>
      </c>
      <c r="H338" s="1" t="e">
        <f t="shared" si="281"/>
        <v>#DIV/0!</v>
      </c>
      <c r="I338" s="29">
        <f t="shared" si="291"/>
        <v>0.03</v>
      </c>
      <c r="J338" s="2" t="e">
        <f t="shared" si="292"/>
        <v>#DIV/0!</v>
      </c>
      <c r="K338" s="2"/>
      <c r="L338" s="2"/>
      <c r="M338" s="2"/>
      <c r="N338" s="2"/>
      <c r="O338" s="16" t="e">
        <f t="shared" si="282"/>
        <v>#DIV/0!</v>
      </c>
      <c r="P338" s="16" t="e">
        <f t="shared" si="283"/>
        <v>#DIV/0!</v>
      </c>
      <c r="Q338" s="2" t="e">
        <f t="shared" si="293"/>
        <v>#DIV/0!</v>
      </c>
      <c r="R338" s="2"/>
      <c r="S338" s="16" t="e">
        <f t="shared" si="284"/>
        <v>#DIV/0!</v>
      </c>
      <c r="T338" s="16"/>
      <c r="U338" s="2" t="e">
        <f t="shared" si="285"/>
        <v>#DIV/0!</v>
      </c>
      <c r="V338" s="2"/>
      <c r="W338" s="2"/>
      <c r="X338" s="2"/>
      <c r="Y338" s="2"/>
      <c r="Z338" s="2"/>
      <c r="AA338" s="2"/>
      <c r="AB338" s="2" t="e">
        <f t="shared" si="286"/>
        <v>#DIV/0!</v>
      </c>
      <c r="AC338" s="2"/>
      <c r="AD338" s="16" t="e">
        <f t="shared" si="287"/>
        <v>#DIV/0!</v>
      </c>
      <c r="AE338" s="16"/>
      <c r="AF338" s="16"/>
      <c r="AG338" s="16"/>
      <c r="AH338" s="16" t="e">
        <f t="shared" si="288"/>
        <v>#DIV/0!</v>
      </c>
      <c r="AI338" s="16"/>
      <c r="AJ338" s="16"/>
      <c r="AK338" s="16"/>
      <c r="AL338" s="16"/>
      <c r="AZ338" s="2" t="e">
        <f t="shared" si="289"/>
        <v>#DIV/0!</v>
      </c>
    </row>
    <row r="339" spans="1:52" x14ac:dyDescent="0.2">
      <c r="A339" s="250"/>
      <c r="B339" s="14" t="s">
        <v>3</v>
      </c>
      <c r="C339" s="2">
        <f t="shared" si="277"/>
        <v>702912910.9893626</v>
      </c>
      <c r="D339" s="2">
        <f t="shared" si="278"/>
        <v>277885853.85456544</v>
      </c>
      <c r="E339" s="2" t="e">
        <f t="shared" si="279"/>
        <v>#DIV/0!</v>
      </c>
      <c r="F339" s="4" t="e">
        <f t="shared" si="280"/>
        <v>#DIV/0!</v>
      </c>
      <c r="G339" s="1" t="e">
        <f t="shared" si="290"/>
        <v>#DIV/0!</v>
      </c>
      <c r="H339" s="1" t="e">
        <f t="shared" si="281"/>
        <v>#DIV/0!</v>
      </c>
      <c r="I339" s="29">
        <f t="shared" si="291"/>
        <v>0.03</v>
      </c>
      <c r="J339" s="2" t="e">
        <f t="shared" si="292"/>
        <v>#DIV/0!</v>
      </c>
      <c r="K339" s="2"/>
      <c r="L339" s="2"/>
      <c r="M339" s="2"/>
      <c r="N339" s="2"/>
      <c r="O339" s="16" t="e">
        <f t="shared" si="282"/>
        <v>#DIV/0!</v>
      </c>
      <c r="P339" s="16" t="e">
        <f t="shared" si="283"/>
        <v>#DIV/0!</v>
      </c>
      <c r="Q339" s="2" t="e">
        <f t="shared" si="293"/>
        <v>#DIV/0!</v>
      </c>
      <c r="R339" s="2"/>
      <c r="S339" s="16" t="e">
        <f t="shared" si="284"/>
        <v>#DIV/0!</v>
      </c>
      <c r="T339" s="16"/>
      <c r="U339" s="2" t="e">
        <f t="shared" si="285"/>
        <v>#DIV/0!</v>
      </c>
      <c r="V339" s="2"/>
      <c r="W339" s="2"/>
      <c r="X339" s="2"/>
      <c r="Y339" s="2"/>
      <c r="Z339" s="2"/>
      <c r="AA339" s="2"/>
      <c r="AB339" s="2" t="e">
        <f t="shared" si="286"/>
        <v>#DIV/0!</v>
      </c>
      <c r="AC339" s="2"/>
      <c r="AD339" s="16" t="e">
        <f t="shared" si="287"/>
        <v>#DIV/0!</v>
      </c>
      <c r="AE339" s="16"/>
      <c r="AF339" s="16"/>
      <c r="AG339" s="16"/>
      <c r="AH339" s="16" t="e">
        <f t="shared" si="288"/>
        <v>#DIV/0!</v>
      </c>
      <c r="AI339" s="16"/>
      <c r="AJ339" s="16"/>
      <c r="AK339" s="16"/>
      <c r="AL339" s="16"/>
      <c r="AZ339" s="2" t="e">
        <f t="shared" si="289"/>
        <v>#DIV/0!</v>
      </c>
    </row>
    <row r="340" spans="1:52" x14ac:dyDescent="0.2">
      <c r="A340" s="250"/>
      <c r="B340" s="14" t="s">
        <v>4</v>
      </c>
      <c r="C340" s="2">
        <f t="shared" si="277"/>
        <v>253033251.92397949</v>
      </c>
      <c r="D340" s="2">
        <f t="shared" si="278"/>
        <v>42722725.600700617</v>
      </c>
      <c r="E340" s="2" t="e">
        <f t="shared" si="279"/>
        <v>#DIV/0!</v>
      </c>
      <c r="F340" s="4" t="e">
        <f t="shared" si="280"/>
        <v>#DIV/0!</v>
      </c>
      <c r="G340" s="1" t="e">
        <f t="shared" si="290"/>
        <v>#DIV/0!</v>
      </c>
      <c r="H340" s="1" t="e">
        <f t="shared" si="281"/>
        <v>#DIV/0!</v>
      </c>
      <c r="I340" s="29">
        <f t="shared" si="291"/>
        <v>0.03</v>
      </c>
      <c r="J340" s="2" t="e">
        <f t="shared" si="292"/>
        <v>#DIV/0!</v>
      </c>
      <c r="K340" s="2"/>
      <c r="L340" s="2"/>
      <c r="M340" s="2"/>
      <c r="N340" s="2"/>
      <c r="O340" s="16" t="e">
        <f t="shared" si="282"/>
        <v>#DIV/0!</v>
      </c>
      <c r="P340" s="16" t="e">
        <f t="shared" si="283"/>
        <v>#DIV/0!</v>
      </c>
      <c r="Q340" s="2" t="e">
        <f t="shared" si="293"/>
        <v>#DIV/0!</v>
      </c>
      <c r="R340" s="2"/>
      <c r="S340" s="16" t="e">
        <f t="shared" si="284"/>
        <v>#DIV/0!</v>
      </c>
      <c r="T340" s="16"/>
      <c r="U340" s="2" t="e">
        <f t="shared" si="285"/>
        <v>#DIV/0!</v>
      </c>
      <c r="V340" s="2"/>
      <c r="W340" s="2"/>
      <c r="X340" s="2"/>
      <c r="Y340" s="2"/>
      <c r="Z340" s="2"/>
      <c r="AA340" s="2"/>
      <c r="AB340" s="2" t="e">
        <f t="shared" si="286"/>
        <v>#DIV/0!</v>
      </c>
      <c r="AC340" s="2"/>
      <c r="AD340" s="16" t="e">
        <f t="shared" si="287"/>
        <v>#DIV/0!</v>
      </c>
      <c r="AE340" s="16"/>
      <c r="AF340" s="16"/>
      <c r="AG340" s="16"/>
      <c r="AH340" s="16" t="e">
        <f t="shared" si="288"/>
        <v>#DIV/0!</v>
      </c>
      <c r="AI340" s="16"/>
      <c r="AJ340" s="16"/>
      <c r="AK340" s="16"/>
      <c r="AL340" s="16"/>
      <c r="AZ340" s="2" t="e">
        <f t="shared" si="289"/>
        <v>#DIV/0!</v>
      </c>
    </row>
    <row r="341" spans="1:52" x14ac:dyDescent="0.2">
      <c r="A341" s="250"/>
      <c r="B341" s="14" t="s">
        <v>5</v>
      </c>
      <c r="C341" s="2">
        <f t="shared" si="277"/>
        <v>599294597.27930725</v>
      </c>
      <c r="D341" s="2">
        <f t="shared" si="278"/>
        <v>190665422.84666738</v>
      </c>
      <c r="E341" s="2" t="e">
        <f t="shared" si="279"/>
        <v>#DIV/0!</v>
      </c>
      <c r="F341" s="4" t="e">
        <f t="shared" si="280"/>
        <v>#DIV/0!</v>
      </c>
      <c r="G341" s="1" t="e">
        <f t="shared" si="290"/>
        <v>#DIV/0!</v>
      </c>
      <c r="H341" s="1" t="e">
        <f t="shared" si="281"/>
        <v>#DIV/0!</v>
      </c>
      <c r="I341" s="29">
        <f t="shared" si="291"/>
        <v>0.03</v>
      </c>
      <c r="J341" s="2" t="e">
        <f t="shared" si="292"/>
        <v>#DIV/0!</v>
      </c>
      <c r="K341" s="2"/>
      <c r="L341" s="2"/>
      <c r="M341" s="2"/>
      <c r="N341" s="2"/>
      <c r="O341" s="16" t="e">
        <f t="shared" si="282"/>
        <v>#DIV/0!</v>
      </c>
      <c r="P341" s="16" t="e">
        <f t="shared" si="283"/>
        <v>#DIV/0!</v>
      </c>
      <c r="Q341" s="2" t="e">
        <f t="shared" si="293"/>
        <v>#DIV/0!</v>
      </c>
      <c r="R341" s="2"/>
      <c r="S341" s="16" t="e">
        <f t="shared" si="284"/>
        <v>#DIV/0!</v>
      </c>
      <c r="T341" s="16"/>
      <c r="U341" s="2" t="e">
        <f t="shared" si="285"/>
        <v>#DIV/0!</v>
      </c>
      <c r="V341" s="2"/>
      <c r="W341" s="2"/>
      <c r="X341" s="2"/>
      <c r="Y341" s="2"/>
      <c r="Z341" s="2"/>
      <c r="AA341" s="2"/>
      <c r="AB341" s="2" t="e">
        <f t="shared" si="286"/>
        <v>#DIV/0!</v>
      </c>
      <c r="AC341" s="2"/>
      <c r="AD341" s="16" t="e">
        <f t="shared" si="287"/>
        <v>#DIV/0!</v>
      </c>
      <c r="AE341" s="16"/>
      <c r="AF341" s="16"/>
      <c r="AG341" s="16"/>
      <c r="AH341" s="16" t="e">
        <f t="shared" si="288"/>
        <v>#DIV/0!</v>
      </c>
      <c r="AI341" s="16"/>
      <c r="AJ341" s="16"/>
      <c r="AK341" s="16"/>
      <c r="AL341" s="16"/>
      <c r="AZ341" s="2" t="e">
        <f t="shared" si="289"/>
        <v>#DIV/0!</v>
      </c>
    </row>
    <row r="342" spans="1:52" x14ac:dyDescent="0.2">
      <c r="A342" s="250"/>
      <c r="B342" s="14" t="s">
        <v>6</v>
      </c>
      <c r="C342" s="2">
        <f t="shared" si="277"/>
        <v>437030152.55670518</v>
      </c>
      <c r="D342" s="2">
        <f t="shared" si="278"/>
        <v>195662080.12837294</v>
      </c>
      <c r="E342" s="2" t="e">
        <f t="shared" si="279"/>
        <v>#DIV/0!</v>
      </c>
      <c r="F342" s="4" t="e">
        <f t="shared" si="280"/>
        <v>#DIV/0!</v>
      </c>
      <c r="G342" s="1" t="e">
        <f t="shared" si="290"/>
        <v>#DIV/0!</v>
      </c>
      <c r="H342" s="1" t="e">
        <f t="shared" si="281"/>
        <v>#DIV/0!</v>
      </c>
      <c r="I342" s="29">
        <f t="shared" si="291"/>
        <v>0.03</v>
      </c>
      <c r="J342" s="2" t="e">
        <f t="shared" si="292"/>
        <v>#DIV/0!</v>
      </c>
      <c r="K342" s="2"/>
      <c r="L342" s="2"/>
      <c r="M342" s="2"/>
      <c r="N342" s="2"/>
      <c r="O342" s="16" t="e">
        <f t="shared" si="282"/>
        <v>#DIV/0!</v>
      </c>
      <c r="P342" s="16" t="e">
        <f t="shared" si="283"/>
        <v>#DIV/0!</v>
      </c>
      <c r="Q342" s="2" t="e">
        <f>$J$349*IF($J$324&lt;0,P342,O342)*0.5</f>
        <v>#DIV/0!</v>
      </c>
      <c r="R342" s="2"/>
      <c r="S342" s="16" t="e">
        <f t="shared" si="284"/>
        <v>#DIV/0!</v>
      </c>
      <c r="T342" s="16"/>
      <c r="U342" s="2" t="e">
        <f t="shared" si="285"/>
        <v>#DIV/0!</v>
      </c>
      <c r="V342" s="2"/>
      <c r="W342" s="2"/>
      <c r="X342" s="2"/>
      <c r="Y342" s="2"/>
      <c r="Z342" s="2"/>
      <c r="AA342" s="2"/>
      <c r="AB342" s="2" t="e">
        <f t="shared" si="286"/>
        <v>#DIV/0!</v>
      </c>
      <c r="AC342" s="2"/>
      <c r="AD342" s="16" t="e">
        <f t="shared" si="287"/>
        <v>#DIV/0!</v>
      </c>
      <c r="AE342" s="16"/>
      <c r="AF342" s="16"/>
      <c r="AG342" s="16"/>
      <c r="AH342" s="16" t="e">
        <f t="shared" si="288"/>
        <v>#DIV/0!</v>
      </c>
      <c r="AI342" s="16"/>
      <c r="AJ342" s="16"/>
      <c r="AK342" s="16"/>
      <c r="AL342" s="16"/>
      <c r="AZ342" s="2" t="e">
        <f t="shared" si="289"/>
        <v>#DIV/0!</v>
      </c>
    </row>
    <row r="343" spans="1:52" x14ac:dyDescent="0.2">
      <c r="A343" s="250"/>
      <c r="B343" s="14" t="s">
        <v>7</v>
      </c>
      <c r="C343" s="2">
        <f t="shared" si="277"/>
        <v>485108997.78135645</v>
      </c>
      <c r="D343" s="2">
        <f t="shared" si="278"/>
        <v>201234305.7969639</v>
      </c>
      <c r="E343" s="2" t="e">
        <f t="shared" si="279"/>
        <v>#DIV/0!</v>
      </c>
      <c r="F343" s="4" t="e">
        <f t="shared" si="280"/>
        <v>#DIV/0!</v>
      </c>
      <c r="G343" s="1" t="e">
        <f t="shared" si="290"/>
        <v>#DIV/0!</v>
      </c>
      <c r="H343" s="1" t="e">
        <f t="shared" si="281"/>
        <v>#DIV/0!</v>
      </c>
      <c r="I343" s="29">
        <f t="shared" si="291"/>
        <v>0.03</v>
      </c>
      <c r="J343" s="2" t="e">
        <f t="shared" si="292"/>
        <v>#DIV/0!</v>
      </c>
      <c r="K343" s="2"/>
      <c r="L343" s="2"/>
      <c r="M343" s="2"/>
      <c r="N343" s="2"/>
      <c r="O343" s="16" t="e">
        <f t="shared" si="282"/>
        <v>#DIV/0!</v>
      </c>
      <c r="P343" s="16" t="e">
        <f t="shared" si="283"/>
        <v>#DIV/0!</v>
      </c>
      <c r="Q343" s="2" t="e">
        <f t="shared" si="293"/>
        <v>#DIV/0!</v>
      </c>
      <c r="R343" s="2"/>
      <c r="S343" s="16" t="e">
        <f t="shared" si="284"/>
        <v>#DIV/0!</v>
      </c>
      <c r="T343" s="16"/>
      <c r="U343" s="2" t="e">
        <f t="shared" si="285"/>
        <v>#DIV/0!</v>
      </c>
      <c r="V343" s="2"/>
      <c r="W343" s="2"/>
      <c r="X343" s="2"/>
      <c r="Y343" s="2"/>
      <c r="Z343" s="2"/>
      <c r="AA343" s="2"/>
      <c r="AB343" s="2" t="e">
        <f t="shared" si="286"/>
        <v>#DIV/0!</v>
      </c>
      <c r="AC343" s="2"/>
      <c r="AD343" s="16" t="e">
        <f t="shared" si="287"/>
        <v>#DIV/0!</v>
      </c>
      <c r="AE343" s="16"/>
      <c r="AF343" s="16"/>
      <c r="AG343" s="16"/>
      <c r="AH343" s="16" t="e">
        <f t="shared" si="288"/>
        <v>#DIV/0!</v>
      </c>
      <c r="AI343" s="16"/>
      <c r="AJ343" s="16"/>
      <c r="AK343" s="16"/>
      <c r="AL343" s="16"/>
      <c r="AZ343" s="2" t="e">
        <f t="shared" si="289"/>
        <v>#DIV/0!</v>
      </c>
    </row>
    <row r="344" spans="1:52" x14ac:dyDescent="0.2">
      <c r="A344" s="250"/>
      <c r="B344" s="14" t="s">
        <v>8</v>
      </c>
      <c r="C344" s="2">
        <f t="shared" si="277"/>
        <v>1367088276.3199213</v>
      </c>
      <c r="D344" s="2">
        <f t="shared" si="278"/>
        <v>471249910.9506709</v>
      </c>
      <c r="E344" s="2" t="e">
        <f t="shared" si="279"/>
        <v>#DIV/0!</v>
      </c>
      <c r="F344" s="4" t="e">
        <f t="shared" si="280"/>
        <v>#DIV/0!</v>
      </c>
      <c r="G344" s="1" t="e">
        <f t="shared" si="290"/>
        <v>#DIV/0!</v>
      </c>
      <c r="H344" s="1" t="e">
        <f t="shared" si="281"/>
        <v>#DIV/0!</v>
      </c>
      <c r="I344" s="29">
        <f t="shared" si="291"/>
        <v>0.03</v>
      </c>
      <c r="J344" s="2" t="e">
        <f t="shared" si="292"/>
        <v>#DIV/0!</v>
      </c>
      <c r="K344" s="2"/>
      <c r="L344" s="2"/>
      <c r="M344" s="2"/>
      <c r="N344" s="2"/>
      <c r="O344" s="16" t="e">
        <f t="shared" si="282"/>
        <v>#DIV/0!</v>
      </c>
      <c r="P344" s="16" t="e">
        <f t="shared" si="283"/>
        <v>#DIV/0!</v>
      </c>
      <c r="Q344" s="2" t="e">
        <f t="shared" si="293"/>
        <v>#DIV/0!</v>
      </c>
      <c r="R344" s="2"/>
      <c r="S344" s="16" t="e">
        <f t="shared" si="284"/>
        <v>#DIV/0!</v>
      </c>
      <c r="T344" s="16"/>
      <c r="U344" s="2" t="e">
        <f t="shared" si="285"/>
        <v>#DIV/0!</v>
      </c>
      <c r="V344" s="2"/>
      <c r="W344" s="2"/>
      <c r="X344" s="2"/>
      <c r="Y344" s="2"/>
      <c r="Z344" s="2"/>
      <c r="AA344" s="2"/>
      <c r="AB344" s="2" t="e">
        <f t="shared" si="286"/>
        <v>#DIV/0!</v>
      </c>
      <c r="AC344" s="2"/>
      <c r="AD344" s="16" t="e">
        <f t="shared" si="287"/>
        <v>#DIV/0!</v>
      </c>
      <c r="AE344" s="16"/>
      <c r="AF344" s="16"/>
      <c r="AG344" s="16"/>
      <c r="AH344" s="16" t="e">
        <f t="shared" si="288"/>
        <v>#DIV/0!</v>
      </c>
      <c r="AI344" s="16"/>
      <c r="AJ344" s="16"/>
      <c r="AK344" s="16"/>
      <c r="AL344" s="16"/>
      <c r="AZ344" s="2" t="e">
        <f t="shared" si="289"/>
        <v>#DIV/0!</v>
      </c>
    </row>
    <row r="345" spans="1:52" x14ac:dyDescent="0.2">
      <c r="A345" s="250"/>
      <c r="B345" s="14" t="s">
        <v>9</v>
      </c>
      <c r="C345" s="2">
        <f t="shared" si="277"/>
        <v>137626340.277574</v>
      </c>
      <c r="D345" s="2">
        <f t="shared" si="278"/>
        <v>59137801.464374438</v>
      </c>
      <c r="E345" s="2" t="e">
        <f t="shared" si="279"/>
        <v>#DIV/0!</v>
      </c>
      <c r="F345" s="4" t="e">
        <f t="shared" si="280"/>
        <v>#DIV/0!</v>
      </c>
      <c r="G345" s="1" t="e">
        <f t="shared" si="290"/>
        <v>#DIV/0!</v>
      </c>
      <c r="H345" s="1" t="e">
        <f t="shared" si="281"/>
        <v>#DIV/0!</v>
      </c>
      <c r="I345" s="29">
        <f t="shared" si="291"/>
        <v>0.03</v>
      </c>
      <c r="J345" s="2" t="e">
        <f t="shared" si="292"/>
        <v>#DIV/0!</v>
      </c>
      <c r="K345" s="2"/>
      <c r="L345" s="2"/>
      <c r="M345" s="2"/>
      <c r="N345" s="2"/>
      <c r="O345" s="16" t="e">
        <f t="shared" si="282"/>
        <v>#DIV/0!</v>
      </c>
      <c r="P345" s="16" t="e">
        <f t="shared" si="283"/>
        <v>#DIV/0!</v>
      </c>
      <c r="Q345" s="2" t="e">
        <f t="shared" si="293"/>
        <v>#DIV/0!</v>
      </c>
      <c r="R345" s="2"/>
      <c r="S345" s="16" t="e">
        <f t="shared" si="284"/>
        <v>#DIV/0!</v>
      </c>
      <c r="T345" s="16"/>
      <c r="U345" s="2" t="e">
        <f t="shared" si="285"/>
        <v>#DIV/0!</v>
      </c>
      <c r="V345" s="2"/>
      <c r="W345" s="2"/>
      <c r="X345" s="2"/>
      <c r="Y345" s="2"/>
      <c r="Z345" s="2"/>
      <c r="AA345" s="2"/>
      <c r="AB345" s="2" t="e">
        <f t="shared" si="286"/>
        <v>#DIV/0!</v>
      </c>
      <c r="AC345" s="2"/>
      <c r="AD345" s="16" t="e">
        <f t="shared" si="287"/>
        <v>#DIV/0!</v>
      </c>
      <c r="AE345" s="16"/>
      <c r="AF345" s="16"/>
      <c r="AG345" s="16"/>
      <c r="AH345" s="16" t="e">
        <f t="shared" si="288"/>
        <v>#DIV/0!</v>
      </c>
      <c r="AI345" s="16"/>
      <c r="AJ345" s="16"/>
      <c r="AK345" s="16"/>
      <c r="AL345" s="16"/>
      <c r="AZ345" s="2" t="e">
        <f t="shared" si="289"/>
        <v>#DIV/0!</v>
      </c>
    </row>
    <row r="346" spans="1:52" x14ac:dyDescent="0.2">
      <c r="A346" s="250"/>
      <c r="B346" s="14" t="s">
        <v>10</v>
      </c>
      <c r="C346" s="2">
        <f t="shared" si="277"/>
        <v>1833690838.655864</v>
      </c>
      <c r="D346" s="2">
        <f t="shared" si="278"/>
        <v>1185133125.6748376</v>
      </c>
      <c r="E346" s="2" t="e">
        <f t="shared" si="279"/>
        <v>#DIV/0!</v>
      </c>
      <c r="F346" s="4" t="e">
        <f t="shared" si="280"/>
        <v>#DIV/0!</v>
      </c>
      <c r="G346" s="1" t="e">
        <f t="shared" si="290"/>
        <v>#DIV/0!</v>
      </c>
      <c r="H346" s="1" t="e">
        <f t="shared" si="281"/>
        <v>#DIV/0!</v>
      </c>
      <c r="I346" s="29">
        <f t="shared" si="291"/>
        <v>0.03</v>
      </c>
      <c r="J346" s="2" t="e">
        <f t="shared" si="292"/>
        <v>#DIV/0!</v>
      </c>
      <c r="K346" s="2"/>
      <c r="L346" s="2"/>
      <c r="M346" s="2"/>
      <c r="N346" s="2"/>
      <c r="O346" s="16" t="e">
        <f t="shared" si="282"/>
        <v>#DIV/0!</v>
      </c>
      <c r="P346" s="16" t="e">
        <f t="shared" si="283"/>
        <v>#DIV/0!</v>
      </c>
      <c r="Q346" s="2" t="e">
        <f t="shared" si="293"/>
        <v>#DIV/0!</v>
      </c>
      <c r="R346" s="2"/>
      <c r="S346" s="16" t="e">
        <f t="shared" si="284"/>
        <v>#DIV/0!</v>
      </c>
      <c r="T346" s="16"/>
      <c r="U346" s="2" t="e">
        <f t="shared" si="285"/>
        <v>#DIV/0!</v>
      </c>
      <c r="V346" s="2"/>
      <c r="W346" s="2"/>
      <c r="X346" s="2"/>
      <c r="Y346" s="2"/>
      <c r="Z346" s="2"/>
      <c r="AA346" s="2"/>
      <c r="AB346" s="2" t="e">
        <f t="shared" si="286"/>
        <v>#DIV/0!</v>
      </c>
      <c r="AC346" s="2"/>
      <c r="AD346" s="16" t="e">
        <f t="shared" si="287"/>
        <v>#DIV/0!</v>
      </c>
      <c r="AE346" s="16"/>
      <c r="AF346" s="16"/>
      <c r="AG346" s="16"/>
      <c r="AH346" s="16" t="e">
        <f t="shared" si="288"/>
        <v>#DIV/0!</v>
      </c>
      <c r="AI346" s="16"/>
      <c r="AJ346" s="16"/>
      <c r="AK346" s="16"/>
      <c r="AL346" s="16"/>
      <c r="AZ346" s="2" t="e">
        <f t="shared" si="289"/>
        <v>#DIV/0!</v>
      </c>
    </row>
    <row r="347" spans="1:52" x14ac:dyDescent="0.2">
      <c r="A347" s="250"/>
      <c r="B347" s="14" t="s">
        <v>11</v>
      </c>
      <c r="C347" s="2">
        <f t="shared" si="277"/>
        <v>292318690.63283283</v>
      </c>
      <c r="D347" s="2">
        <f t="shared" si="278"/>
        <v>102943346.06719388</v>
      </c>
      <c r="E347" s="2" t="e">
        <f t="shared" si="279"/>
        <v>#DIV/0!</v>
      </c>
      <c r="F347" s="4" t="e">
        <f t="shared" si="280"/>
        <v>#DIV/0!</v>
      </c>
      <c r="G347" s="1" t="e">
        <f t="shared" si="290"/>
        <v>#DIV/0!</v>
      </c>
      <c r="H347" s="1" t="e">
        <f t="shared" si="281"/>
        <v>#DIV/0!</v>
      </c>
      <c r="I347" s="29">
        <f t="shared" si="291"/>
        <v>0.03</v>
      </c>
      <c r="J347" s="2" t="e">
        <f t="shared" si="292"/>
        <v>#DIV/0!</v>
      </c>
      <c r="K347" s="2"/>
      <c r="L347" s="2"/>
      <c r="M347" s="2"/>
      <c r="N347" s="2"/>
      <c r="O347" s="16" t="e">
        <f t="shared" si="282"/>
        <v>#DIV/0!</v>
      </c>
      <c r="P347" s="16" t="e">
        <f t="shared" si="283"/>
        <v>#DIV/0!</v>
      </c>
      <c r="Q347" s="2" t="e">
        <f t="shared" si="293"/>
        <v>#DIV/0!</v>
      </c>
      <c r="R347" s="2"/>
      <c r="S347" s="16" t="e">
        <f t="shared" si="284"/>
        <v>#DIV/0!</v>
      </c>
      <c r="T347" s="16"/>
      <c r="U347" s="2" t="e">
        <f t="shared" si="285"/>
        <v>#DIV/0!</v>
      </c>
      <c r="V347" s="2"/>
      <c r="W347" s="2"/>
      <c r="X347" s="2"/>
      <c r="Y347" s="2"/>
      <c r="Z347" s="2"/>
      <c r="AA347" s="2"/>
      <c r="AB347" s="2" t="e">
        <f t="shared" si="286"/>
        <v>#DIV/0!</v>
      </c>
      <c r="AC347" s="2"/>
      <c r="AD347" s="16" t="e">
        <f t="shared" si="287"/>
        <v>#DIV/0!</v>
      </c>
      <c r="AE347" s="16"/>
      <c r="AF347" s="16"/>
      <c r="AG347" s="16"/>
      <c r="AH347" s="16" t="e">
        <f t="shared" si="288"/>
        <v>#DIV/0!</v>
      </c>
      <c r="AI347" s="16"/>
      <c r="AJ347" s="16"/>
      <c r="AK347" s="16"/>
      <c r="AL347" s="16"/>
      <c r="AZ347" s="2" t="e">
        <f t="shared" si="289"/>
        <v>#DIV/0!</v>
      </c>
    </row>
    <row r="348" spans="1:52" x14ac:dyDescent="0.2">
      <c r="A348" s="250"/>
      <c r="B348" s="15" t="s">
        <v>14</v>
      </c>
      <c r="C348" s="30">
        <f>SUM(C336:C347)</f>
        <v>6641847690.7242346</v>
      </c>
      <c r="D348" s="30">
        <f>SUM(D336:D347)</f>
        <v>2868098504.7340016</v>
      </c>
      <c r="E348" s="30" t="e">
        <f>SUM(E336:E347)</f>
        <v>#DIV/0!</v>
      </c>
      <c r="F348" s="30" t="e">
        <f>SUM(F336:F347)</f>
        <v>#DIV/0!</v>
      </c>
      <c r="G348" s="1" t="e">
        <f>1-H348</f>
        <v>#DIV/0!</v>
      </c>
      <c r="H348" s="11" t="e">
        <f t="shared" si="281"/>
        <v>#DIV/0!</v>
      </c>
      <c r="J348" s="30" t="e">
        <f>SUM(J336:J347)</f>
        <v>#DIV/0!</v>
      </c>
      <c r="K348" s="30"/>
      <c r="L348" s="30"/>
      <c r="M348" s="30"/>
      <c r="N348" s="30"/>
      <c r="O348" s="16"/>
      <c r="P348" s="16"/>
      <c r="Q348" s="30" t="e">
        <f>SUM(Q336:Q347)</f>
        <v>#DIV/0!</v>
      </c>
      <c r="R348" s="30"/>
      <c r="S348" s="30"/>
      <c r="T348" s="30"/>
      <c r="U348" s="30" t="e">
        <f>SUM(U336:U347)</f>
        <v>#DIV/0!</v>
      </c>
      <c r="V348" s="30"/>
      <c r="W348" s="30"/>
      <c r="X348" s="30"/>
      <c r="Y348" s="30"/>
      <c r="Z348" s="30"/>
      <c r="AA348" s="30"/>
      <c r="AB348" s="30" t="e">
        <f>SUM(AB336:AB347)</f>
        <v>#DIV/0!</v>
      </c>
      <c r="AC348" s="30"/>
      <c r="AD348" s="16" t="e">
        <f t="shared" si="287"/>
        <v>#DIV/0!</v>
      </c>
      <c r="AE348" s="16"/>
      <c r="AF348" s="16"/>
      <c r="AG348" s="16"/>
      <c r="AH348" s="16" t="e">
        <f t="shared" si="288"/>
        <v>#DIV/0!</v>
      </c>
      <c r="AI348" s="16"/>
      <c r="AJ348" s="16"/>
      <c r="AK348" s="16"/>
      <c r="AL348" s="16"/>
      <c r="AZ348" s="3" t="e">
        <f>SUM(AZ336:AZ347)</f>
        <v>#DIV/0!</v>
      </c>
    </row>
    <row r="349" spans="1:52" x14ac:dyDescent="0.2">
      <c r="C349" s="30"/>
      <c r="D349" s="30"/>
      <c r="E349" s="30"/>
      <c r="F349" s="30"/>
      <c r="G349" s="21" t="e">
        <f>SUM(G336:G347)</f>
        <v>#DIV/0!</v>
      </c>
      <c r="H349" s="21" t="e">
        <f>SUM(H336:H347)</f>
        <v>#DIV/0!</v>
      </c>
      <c r="I349" s="10" t="s">
        <v>30</v>
      </c>
      <c r="J349" s="17" t="e">
        <f>C331-SUM(J336:J347)</f>
        <v>#DIV/0!</v>
      </c>
      <c r="K349" s="17"/>
      <c r="L349" s="17"/>
      <c r="M349" s="17"/>
      <c r="N349" s="17"/>
    </row>
    <row r="352" spans="1:52" x14ac:dyDescent="0.2">
      <c r="A352" s="250">
        <v>14</v>
      </c>
      <c r="B352" t="s">
        <v>34</v>
      </c>
      <c r="C352" s="4" t="e">
        <f>AZ348</f>
        <v>#DIV/0!</v>
      </c>
      <c r="D352" s="4"/>
    </row>
    <row r="353" spans="1:52" x14ac:dyDescent="0.2">
      <c r="A353" s="250"/>
      <c r="B353" t="s">
        <v>27</v>
      </c>
      <c r="C353" s="6" t="e">
        <f>C352*(1+C354)</f>
        <v>#DIV/0!</v>
      </c>
      <c r="D353" s="6"/>
    </row>
    <row r="354" spans="1:52" x14ac:dyDescent="0.2">
      <c r="A354" s="250"/>
      <c r="B354" t="s">
        <v>28</v>
      </c>
      <c r="C354" s="20">
        <f>C4</f>
        <v>0.12</v>
      </c>
      <c r="D354" s="20"/>
    </row>
    <row r="355" spans="1:52" x14ac:dyDescent="0.2">
      <c r="A355" s="250"/>
      <c r="B355" t="s">
        <v>16</v>
      </c>
      <c r="C355" s="20">
        <f>C5</f>
        <v>0.03</v>
      </c>
      <c r="D355" s="20"/>
    </row>
    <row r="356" spans="1:52" x14ac:dyDescent="0.2">
      <c r="A356" s="250"/>
      <c r="B356" t="s">
        <v>31</v>
      </c>
      <c r="C356" s="6" t="e">
        <f>C353-C352</f>
        <v>#DIV/0!</v>
      </c>
      <c r="D356" s="6"/>
    </row>
    <row r="357" spans="1:52" x14ac:dyDescent="0.2">
      <c r="A357" s="250"/>
      <c r="B357" t="s">
        <v>48</v>
      </c>
      <c r="C357" s="20">
        <f>((1+$C$5)^A352)-1</f>
        <v>0.51258972485511101</v>
      </c>
      <c r="D357" s="20"/>
    </row>
    <row r="358" spans="1:52" ht="21" x14ac:dyDescent="0.25">
      <c r="A358" s="250"/>
      <c r="F358" s="6"/>
      <c r="G358" s="6"/>
      <c r="I358" s="251" t="s">
        <v>18</v>
      </c>
      <c r="J358" s="251"/>
      <c r="K358" s="251"/>
      <c r="L358" s="251"/>
      <c r="M358" s="251"/>
      <c r="N358" s="251"/>
      <c r="O358" s="251"/>
      <c r="P358" s="251"/>
      <c r="Q358" s="251"/>
      <c r="R358" s="251"/>
      <c r="S358" s="251"/>
      <c r="T358" s="251"/>
      <c r="U358" s="251"/>
      <c r="V358" s="251"/>
      <c r="W358" s="251"/>
      <c r="X358" s="251"/>
      <c r="Y358" s="251"/>
      <c r="Z358" s="251"/>
      <c r="AA358" s="251"/>
      <c r="AB358" s="251"/>
      <c r="AC358" s="251"/>
      <c r="AD358" s="251"/>
      <c r="AE358" s="107"/>
      <c r="AF358" s="107"/>
      <c r="AG358" s="107"/>
      <c r="AH358" s="107"/>
      <c r="AI358" s="107"/>
      <c r="AJ358" s="107"/>
      <c r="AK358" s="107"/>
      <c r="AL358" s="107"/>
    </row>
    <row r="359" spans="1:52" x14ac:dyDescent="0.2">
      <c r="A359" s="250" t="s">
        <v>51</v>
      </c>
      <c r="I359" s="255" t="s">
        <v>19</v>
      </c>
      <c r="J359" s="255"/>
      <c r="K359" s="255"/>
      <c r="L359" s="255"/>
      <c r="M359" s="255"/>
      <c r="N359" s="255"/>
      <c r="O359" s="255"/>
      <c r="P359" s="255"/>
      <c r="Q359" s="255"/>
      <c r="R359" s="255"/>
      <c r="S359" s="255"/>
      <c r="T359" s="255"/>
      <c r="U359" s="255"/>
      <c r="V359" s="255"/>
      <c r="W359" s="255"/>
      <c r="X359" s="255"/>
      <c r="Y359" s="255"/>
      <c r="Z359" s="255"/>
      <c r="AA359" s="255"/>
      <c r="AB359" s="255"/>
      <c r="AC359" s="255"/>
      <c r="AD359" s="255"/>
      <c r="AE359" s="115"/>
      <c r="AF359" s="115"/>
      <c r="AG359" s="115"/>
      <c r="AH359" s="115"/>
      <c r="AI359" s="115"/>
      <c r="AJ359" s="115"/>
      <c r="AK359" s="115"/>
      <c r="AL359" s="115"/>
    </row>
    <row r="360" spans="1:52" ht="49" thickBot="1" x14ac:dyDescent="0.25">
      <c r="A360" s="250"/>
      <c r="B360" s="22" t="s">
        <v>12</v>
      </c>
      <c r="C360" s="13" t="s">
        <v>15</v>
      </c>
      <c r="D360" s="13" t="s">
        <v>63</v>
      </c>
      <c r="E360" s="13" t="s">
        <v>29</v>
      </c>
      <c r="F360" s="13" t="s">
        <v>13</v>
      </c>
      <c r="G360" s="13" t="s">
        <v>50</v>
      </c>
      <c r="H360" s="13" t="s">
        <v>17</v>
      </c>
      <c r="I360" s="28" t="s">
        <v>20</v>
      </c>
      <c r="J360" s="28" t="s">
        <v>21</v>
      </c>
      <c r="K360" s="28"/>
      <c r="L360" s="28"/>
      <c r="M360" s="28"/>
      <c r="N360" s="28"/>
      <c r="O360" s="28" t="s">
        <v>22</v>
      </c>
      <c r="P360" s="28" t="s">
        <v>49</v>
      </c>
      <c r="Q360" s="28" t="s">
        <v>23</v>
      </c>
      <c r="R360" s="28"/>
      <c r="S360" s="28" t="s">
        <v>71</v>
      </c>
      <c r="T360" s="28"/>
      <c r="U360" s="28" t="s">
        <v>72</v>
      </c>
      <c r="V360" s="28"/>
      <c r="W360" s="28"/>
      <c r="X360" s="28"/>
      <c r="Y360" s="28"/>
      <c r="Z360" s="28"/>
      <c r="AA360" s="28"/>
      <c r="AB360" s="28" t="s">
        <v>24</v>
      </c>
      <c r="AC360" s="28"/>
      <c r="AD360" s="28" t="s">
        <v>25</v>
      </c>
      <c r="AE360" s="116"/>
      <c r="AF360" s="116"/>
      <c r="AG360" s="116"/>
      <c r="AH360" s="28" t="s">
        <v>25</v>
      </c>
      <c r="AI360" s="116"/>
      <c r="AJ360" s="116"/>
      <c r="AK360" s="116"/>
      <c r="AL360" s="116"/>
      <c r="AZ360" s="28" t="s">
        <v>32</v>
      </c>
    </row>
    <row r="361" spans="1:52" ht="16" thickTop="1" x14ac:dyDescent="0.2">
      <c r="A361" s="250"/>
      <c r="B361" s="14" t="s">
        <v>0</v>
      </c>
      <c r="C361" s="2">
        <f t="shared" ref="C361:C372" si="294">VLOOKUP($B361,$B$10:$Q$23,2,FALSE)*(1+$C$357)</f>
        <v>119428288.63560879</v>
      </c>
      <c r="D361" s="2">
        <f t="shared" ref="D361:D372" si="295">VLOOKUP($B361,$B$10:$Q$23,3,FALSE)*(1+$C$357)</f>
        <v>19407526.431696009</v>
      </c>
      <c r="E361" s="2" t="e">
        <f t="shared" ref="E361:E372" si="296">AZ336</f>
        <v>#DIV/0!</v>
      </c>
      <c r="F361" s="4" t="e">
        <f t="shared" ref="F361:F372" si="297">C361-E361-D361</f>
        <v>#DIV/0!</v>
      </c>
      <c r="G361" s="1" t="e">
        <f>1-H361</f>
        <v>#DIV/0!</v>
      </c>
      <c r="H361" s="1" t="e">
        <f t="shared" ref="H361:H373" si="298">MAX(0,F361/C361)</f>
        <v>#DIV/0!</v>
      </c>
      <c r="I361" s="29">
        <f>MIN($C$5,($C$4*0.5))*$C$8</f>
        <v>0.03</v>
      </c>
      <c r="J361" s="2" t="e">
        <f>I361*E361</f>
        <v>#DIV/0!</v>
      </c>
      <c r="K361" s="2"/>
      <c r="L361" s="2"/>
      <c r="M361" s="2"/>
      <c r="N361" s="2"/>
      <c r="O361" s="16" t="e">
        <f t="shared" ref="O361:O372" si="299">H361/$H$374</f>
        <v>#DIV/0!</v>
      </c>
      <c r="P361" s="16" t="e">
        <f t="shared" ref="P361:P372" si="300">G361/$G$374</f>
        <v>#DIV/0!</v>
      </c>
      <c r="Q361" s="2" t="e">
        <f>$J$374*IF($J$324&lt;0,P361,O361)*0.5</f>
        <v>#DIV/0!</v>
      </c>
      <c r="R361" s="2"/>
      <c r="S361" s="16" t="e">
        <f t="shared" ref="S361:S372" si="301">MAX(F361,0)/$F$373</f>
        <v>#DIV/0!</v>
      </c>
      <c r="T361" s="16"/>
      <c r="U361" s="2" t="e">
        <f t="shared" ref="U361:U372" si="302">S361*$J$374*0.5</f>
        <v>#DIV/0!</v>
      </c>
      <c r="V361" s="2"/>
      <c r="W361" s="2"/>
      <c r="X361" s="2"/>
      <c r="Y361" s="2"/>
      <c r="Z361" s="2"/>
      <c r="AA361" s="2"/>
      <c r="AB361" s="2" t="e">
        <f t="shared" ref="AB361:AB372" si="303">J361+Q361+U361</f>
        <v>#DIV/0!</v>
      </c>
      <c r="AC361" s="2"/>
      <c r="AD361" s="16" t="e">
        <f t="shared" ref="AD361:AD373" si="304">AB361/E361</f>
        <v>#DIV/0!</v>
      </c>
      <c r="AE361" s="16"/>
      <c r="AF361" s="16"/>
      <c r="AG361" s="16"/>
      <c r="AH361" s="16" t="e">
        <f t="shared" ref="AH361:AH373" si="305">AG361/H361</f>
        <v>#DIV/0!</v>
      </c>
      <c r="AI361" s="16"/>
      <c r="AJ361" s="16"/>
      <c r="AK361" s="16"/>
      <c r="AL361" s="16"/>
      <c r="AZ361" s="2" t="e">
        <f t="shared" ref="AZ361:AZ372" si="306">AB361+E361</f>
        <v>#DIV/0!</v>
      </c>
    </row>
    <row r="362" spans="1:52" x14ac:dyDescent="0.2">
      <c r="A362" s="250"/>
      <c r="B362" s="14" t="s">
        <v>1</v>
      </c>
      <c r="C362" s="2">
        <f t="shared" si="294"/>
        <v>254633188.34494871</v>
      </c>
      <c r="D362" s="2">
        <f t="shared" si="295"/>
        <v>86176776.545587808</v>
      </c>
      <c r="E362" s="2" t="e">
        <f t="shared" si="296"/>
        <v>#DIV/0!</v>
      </c>
      <c r="F362" s="4" t="e">
        <f t="shared" si="297"/>
        <v>#DIV/0!</v>
      </c>
      <c r="G362" s="1" t="e">
        <f t="shared" ref="G362:G372" si="307">1-H362</f>
        <v>#DIV/0!</v>
      </c>
      <c r="H362" s="1" t="e">
        <f t="shared" si="298"/>
        <v>#DIV/0!</v>
      </c>
      <c r="I362" s="29">
        <f t="shared" ref="I362:I372" si="308">MIN($C$5,($C$4*0.5))*$C$8</f>
        <v>0.03</v>
      </c>
      <c r="J362" s="2" t="e">
        <f t="shared" ref="J362:J372" si="309">I362*E362</f>
        <v>#DIV/0!</v>
      </c>
      <c r="K362" s="2"/>
      <c r="L362" s="2"/>
      <c r="M362" s="2"/>
      <c r="N362" s="2"/>
      <c r="O362" s="16" t="e">
        <f t="shared" si="299"/>
        <v>#DIV/0!</v>
      </c>
      <c r="P362" s="16" t="e">
        <f t="shared" si="300"/>
        <v>#DIV/0!</v>
      </c>
      <c r="Q362" s="2" t="e">
        <f t="shared" ref="Q362:Q372" si="310">$J$374*IF($J$324&lt;0,P362,O362)*0.5</f>
        <v>#DIV/0!</v>
      </c>
      <c r="R362" s="2"/>
      <c r="S362" s="16" t="e">
        <f t="shared" si="301"/>
        <v>#DIV/0!</v>
      </c>
      <c r="T362" s="16"/>
      <c r="U362" s="2" t="e">
        <f t="shared" si="302"/>
        <v>#DIV/0!</v>
      </c>
      <c r="V362" s="2"/>
      <c r="W362" s="2"/>
      <c r="X362" s="2"/>
      <c r="Y362" s="2"/>
      <c r="Z362" s="2"/>
      <c r="AA362" s="2"/>
      <c r="AB362" s="2" t="e">
        <f t="shared" si="303"/>
        <v>#DIV/0!</v>
      </c>
      <c r="AC362" s="2"/>
      <c r="AD362" s="16" t="e">
        <f t="shared" si="304"/>
        <v>#DIV/0!</v>
      </c>
      <c r="AE362" s="16"/>
      <c r="AF362" s="16"/>
      <c r="AG362" s="16"/>
      <c r="AH362" s="16" t="e">
        <f t="shared" si="305"/>
        <v>#DIV/0!</v>
      </c>
      <c r="AI362" s="16"/>
      <c r="AJ362" s="16"/>
      <c r="AK362" s="16"/>
      <c r="AL362" s="16"/>
      <c r="AZ362" s="2" t="e">
        <f t="shared" si="306"/>
        <v>#DIV/0!</v>
      </c>
    </row>
    <row r="363" spans="1:52" x14ac:dyDescent="0.2">
      <c r="A363" s="250"/>
      <c r="B363" s="14" t="s">
        <v>2</v>
      </c>
      <c r="C363" s="2">
        <f t="shared" si="294"/>
        <v>175694466.35599494</v>
      </c>
      <c r="D363" s="2">
        <f t="shared" si="295"/>
        <v>40123547.342860289</v>
      </c>
      <c r="E363" s="2" t="e">
        <f t="shared" si="296"/>
        <v>#DIV/0!</v>
      </c>
      <c r="F363" s="4" t="e">
        <f t="shared" si="297"/>
        <v>#DIV/0!</v>
      </c>
      <c r="G363" s="1" t="e">
        <f t="shared" si="307"/>
        <v>#DIV/0!</v>
      </c>
      <c r="H363" s="1" t="e">
        <f t="shared" si="298"/>
        <v>#DIV/0!</v>
      </c>
      <c r="I363" s="29">
        <f t="shared" si="308"/>
        <v>0.03</v>
      </c>
      <c r="J363" s="2" t="e">
        <f t="shared" si="309"/>
        <v>#DIV/0!</v>
      </c>
      <c r="K363" s="2"/>
      <c r="L363" s="2"/>
      <c r="M363" s="2"/>
      <c r="N363" s="2"/>
      <c r="O363" s="16" t="e">
        <f t="shared" si="299"/>
        <v>#DIV/0!</v>
      </c>
      <c r="P363" s="16" t="e">
        <f t="shared" si="300"/>
        <v>#DIV/0!</v>
      </c>
      <c r="Q363" s="2" t="e">
        <f t="shared" si="310"/>
        <v>#DIV/0!</v>
      </c>
      <c r="R363" s="2"/>
      <c r="S363" s="16" t="e">
        <f t="shared" si="301"/>
        <v>#DIV/0!</v>
      </c>
      <c r="T363" s="16"/>
      <c r="U363" s="2" t="e">
        <f t="shared" si="302"/>
        <v>#DIV/0!</v>
      </c>
      <c r="V363" s="2"/>
      <c r="W363" s="2"/>
      <c r="X363" s="2"/>
      <c r="Y363" s="2"/>
      <c r="Z363" s="2"/>
      <c r="AA363" s="2"/>
      <c r="AB363" s="2" t="e">
        <f t="shared" si="303"/>
        <v>#DIV/0!</v>
      </c>
      <c r="AC363" s="2"/>
      <c r="AD363" s="16" t="e">
        <f t="shared" si="304"/>
        <v>#DIV/0!</v>
      </c>
      <c r="AE363" s="16"/>
      <c r="AF363" s="16"/>
      <c r="AG363" s="16"/>
      <c r="AH363" s="16" t="e">
        <f t="shared" si="305"/>
        <v>#DIV/0!</v>
      </c>
      <c r="AI363" s="16"/>
      <c r="AJ363" s="16"/>
      <c r="AK363" s="16"/>
      <c r="AL363" s="16"/>
      <c r="AZ363" s="2" t="e">
        <f t="shared" si="306"/>
        <v>#DIV/0!</v>
      </c>
    </row>
    <row r="364" spans="1:52" x14ac:dyDescent="0.2">
      <c r="A364" s="250"/>
      <c r="B364" s="14" t="s">
        <v>3</v>
      </c>
      <c r="C364" s="2">
        <f t="shared" si="294"/>
        <v>724000298.31904352</v>
      </c>
      <c r="D364" s="2">
        <f t="shared" si="295"/>
        <v>286222429.47020245</v>
      </c>
      <c r="E364" s="2" t="e">
        <f t="shared" si="296"/>
        <v>#DIV/0!</v>
      </c>
      <c r="F364" s="4" t="e">
        <f t="shared" si="297"/>
        <v>#DIV/0!</v>
      </c>
      <c r="G364" s="1" t="e">
        <f t="shared" si="307"/>
        <v>#DIV/0!</v>
      </c>
      <c r="H364" s="1" t="e">
        <f t="shared" si="298"/>
        <v>#DIV/0!</v>
      </c>
      <c r="I364" s="29">
        <f t="shared" si="308"/>
        <v>0.03</v>
      </c>
      <c r="J364" s="2" t="e">
        <f t="shared" si="309"/>
        <v>#DIV/0!</v>
      </c>
      <c r="K364" s="2"/>
      <c r="L364" s="2"/>
      <c r="M364" s="2"/>
      <c r="N364" s="2"/>
      <c r="O364" s="16" t="e">
        <f t="shared" si="299"/>
        <v>#DIV/0!</v>
      </c>
      <c r="P364" s="16" t="e">
        <f t="shared" si="300"/>
        <v>#DIV/0!</v>
      </c>
      <c r="Q364" s="2" t="e">
        <f t="shared" si="310"/>
        <v>#DIV/0!</v>
      </c>
      <c r="R364" s="2"/>
      <c r="S364" s="16" t="e">
        <f t="shared" si="301"/>
        <v>#DIV/0!</v>
      </c>
      <c r="T364" s="16"/>
      <c r="U364" s="2" t="e">
        <f t="shared" si="302"/>
        <v>#DIV/0!</v>
      </c>
      <c r="V364" s="2"/>
      <c r="W364" s="2"/>
      <c r="X364" s="2"/>
      <c r="Y364" s="2"/>
      <c r="Z364" s="2"/>
      <c r="AA364" s="2"/>
      <c r="AB364" s="2" t="e">
        <f t="shared" si="303"/>
        <v>#DIV/0!</v>
      </c>
      <c r="AC364" s="2"/>
      <c r="AD364" s="16" t="e">
        <f t="shared" si="304"/>
        <v>#DIV/0!</v>
      </c>
      <c r="AE364" s="16"/>
      <c r="AF364" s="16"/>
      <c r="AG364" s="16"/>
      <c r="AH364" s="16" t="e">
        <f t="shared" si="305"/>
        <v>#DIV/0!</v>
      </c>
      <c r="AI364" s="16"/>
      <c r="AJ364" s="16"/>
      <c r="AK364" s="16"/>
      <c r="AL364" s="16"/>
      <c r="AZ364" s="2" t="e">
        <f t="shared" si="306"/>
        <v>#DIV/0!</v>
      </c>
    </row>
    <row r="365" spans="1:52" x14ac:dyDescent="0.2">
      <c r="A365" s="250"/>
      <c r="B365" s="14" t="s">
        <v>4</v>
      </c>
      <c r="C365" s="2">
        <f t="shared" si="294"/>
        <v>260624249.4816989</v>
      </c>
      <c r="D365" s="2">
        <f t="shared" si="295"/>
        <v>44004407.368721642</v>
      </c>
      <c r="E365" s="2" t="e">
        <f t="shared" si="296"/>
        <v>#DIV/0!</v>
      </c>
      <c r="F365" s="4" t="e">
        <f t="shared" si="297"/>
        <v>#DIV/0!</v>
      </c>
      <c r="G365" s="1" t="e">
        <f t="shared" si="307"/>
        <v>#DIV/0!</v>
      </c>
      <c r="H365" s="1" t="e">
        <f t="shared" si="298"/>
        <v>#DIV/0!</v>
      </c>
      <c r="I365" s="29">
        <f t="shared" si="308"/>
        <v>0.03</v>
      </c>
      <c r="J365" s="2" t="e">
        <f t="shared" si="309"/>
        <v>#DIV/0!</v>
      </c>
      <c r="K365" s="2"/>
      <c r="L365" s="2"/>
      <c r="M365" s="2"/>
      <c r="N365" s="2"/>
      <c r="O365" s="16" t="e">
        <f t="shared" si="299"/>
        <v>#DIV/0!</v>
      </c>
      <c r="P365" s="16" t="e">
        <f t="shared" si="300"/>
        <v>#DIV/0!</v>
      </c>
      <c r="Q365" s="2" t="e">
        <f t="shared" si="310"/>
        <v>#DIV/0!</v>
      </c>
      <c r="R365" s="2"/>
      <c r="S365" s="16" t="e">
        <f t="shared" si="301"/>
        <v>#DIV/0!</v>
      </c>
      <c r="T365" s="16"/>
      <c r="U365" s="2" t="e">
        <f t="shared" si="302"/>
        <v>#DIV/0!</v>
      </c>
      <c r="V365" s="2"/>
      <c r="W365" s="2"/>
      <c r="X365" s="2"/>
      <c r="Y365" s="2"/>
      <c r="Z365" s="2"/>
      <c r="AA365" s="2"/>
      <c r="AB365" s="2" t="e">
        <f t="shared" si="303"/>
        <v>#DIV/0!</v>
      </c>
      <c r="AC365" s="2"/>
      <c r="AD365" s="16" t="e">
        <f t="shared" si="304"/>
        <v>#DIV/0!</v>
      </c>
      <c r="AE365" s="16"/>
      <c r="AF365" s="16"/>
      <c r="AG365" s="16"/>
      <c r="AH365" s="16" t="e">
        <f t="shared" si="305"/>
        <v>#DIV/0!</v>
      </c>
      <c r="AI365" s="16"/>
      <c r="AJ365" s="16"/>
      <c r="AK365" s="16"/>
      <c r="AL365" s="16"/>
      <c r="AZ365" s="2" t="e">
        <f t="shared" si="306"/>
        <v>#DIV/0!</v>
      </c>
    </row>
    <row r="366" spans="1:52" x14ac:dyDescent="0.2">
      <c r="A366" s="250"/>
      <c r="B366" s="14" t="s">
        <v>5</v>
      </c>
      <c r="C366" s="2">
        <f t="shared" si="294"/>
        <v>617273435.19768655</v>
      </c>
      <c r="D366" s="2">
        <f t="shared" si="295"/>
        <v>196385385.53206745</v>
      </c>
      <c r="E366" s="2" t="e">
        <f t="shared" si="296"/>
        <v>#DIV/0!</v>
      </c>
      <c r="F366" s="4" t="e">
        <f t="shared" si="297"/>
        <v>#DIV/0!</v>
      </c>
      <c r="G366" s="1" t="e">
        <f t="shared" si="307"/>
        <v>#DIV/0!</v>
      </c>
      <c r="H366" s="1" t="e">
        <f t="shared" si="298"/>
        <v>#DIV/0!</v>
      </c>
      <c r="I366" s="29">
        <f t="shared" si="308"/>
        <v>0.03</v>
      </c>
      <c r="J366" s="2" t="e">
        <f t="shared" si="309"/>
        <v>#DIV/0!</v>
      </c>
      <c r="K366" s="2"/>
      <c r="L366" s="2"/>
      <c r="M366" s="2"/>
      <c r="N366" s="2"/>
      <c r="O366" s="16" t="e">
        <f t="shared" si="299"/>
        <v>#DIV/0!</v>
      </c>
      <c r="P366" s="16" t="e">
        <f t="shared" si="300"/>
        <v>#DIV/0!</v>
      </c>
      <c r="Q366" s="2" t="e">
        <f t="shared" si="310"/>
        <v>#DIV/0!</v>
      </c>
      <c r="R366" s="2"/>
      <c r="S366" s="16" t="e">
        <f t="shared" si="301"/>
        <v>#DIV/0!</v>
      </c>
      <c r="T366" s="16"/>
      <c r="U366" s="2" t="e">
        <f t="shared" si="302"/>
        <v>#DIV/0!</v>
      </c>
      <c r="V366" s="2"/>
      <c r="W366" s="2"/>
      <c r="X366" s="2"/>
      <c r="Y366" s="2"/>
      <c r="Z366" s="2"/>
      <c r="AA366" s="2"/>
      <c r="AB366" s="2" t="e">
        <f t="shared" si="303"/>
        <v>#DIV/0!</v>
      </c>
      <c r="AC366" s="2"/>
      <c r="AD366" s="16" t="e">
        <f t="shared" si="304"/>
        <v>#DIV/0!</v>
      </c>
      <c r="AE366" s="16"/>
      <c r="AF366" s="16"/>
      <c r="AG366" s="16"/>
      <c r="AH366" s="16" t="e">
        <f t="shared" si="305"/>
        <v>#DIV/0!</v>
      </c>
      <c r="AI366" s="16"/>
      <c r="AJ366" s="16"/>
      <c r="AK366" s="16"/>
      <c r="AL366" s="16"/>
      <c r="AZ366" s="2" t="e">
        <f t="shared" si="306"/>
        <v>#DIV/0!</v>
      </c>
    </row>
    <row r="367" spans="1:52" x14ac:dyDescent="0.2">
      <c r="A367" s="250"/>
      <c r="B367" s="14" t="s">
        <v>6</v>
      </c>
      <c r="C367" s="2">
        <f t="shared" si="294"/>
        <v>450141057.1334064</v>
      </c>
      <c r="D367" s="2">
        <f t="shared" si="295"/>
        <v>201531942.53222415</v>
      </c>
      <c r="E367" s="2" t="e">
        <f t="shared" si="296"/>
        <v>#DIV/0!</v>
      </c>
      <c r="F367" s="4" t="e">
        <f t="shared" si="297"/>
        <v>#DIV/0!</v>
      </c>
      <c r="G367" s="1" t="e">
        <f t="shared" si="307"/>
        <v>#DIV/0!</v>
      </c>
      <c r="H367" s="1" t="e">
        <f t="shared" si="298"/>
        <v>#DIV/0!</v>
      </c>
      <c r="I367" s="29">
        <f t="shared" si="308"/>
        <v>0.03</v>
      </c>
      <c r="J367" s="2" t="e">
        <f t="shared" si="309"/>
        <v>#DIV/0!</v>
      </c>
      <c r="K367" s="2"/>
      <c r="L367" s="2"/>
      <c r="M367" s="2"/>
      <c r="N367" s="2"/>
      <c r="O367" s="16" t="e">
        <f t="shared" si="299"/>
        <v>#DIV/0!</v>
      </c>
      <c r="P367" s="16" t="e">
        <f t="shared" si="300"/>
        <v>#DIV/0!</v>
      </c>
      <c r="Q367" s="2" t="e">
        <f t="shared" si="310"/>
        <v>#DIV/0!</v>
      </c>
      <c r="R367" s="2"/>
      <c r="S367" s="16" t="e">
        <f t="shared" si="301"/>
        <v>#DIV/0!</v>
      </c>
      <c r="T367" s="16"/>
      <c r="U367" s="2" t="e">
        <f t="shared" si="302"/>
        <v>#DIV/0!</v>
      </c>
      <c r="V367" s="2"/>
      <c r="W367" s="2"/>
      <c r="X367" s="2"/>
      <c r="Y367" s="2"/>
      <c r="Z367" s="2"/>
      <c r="AA367" s="2"/>
      <c r="AB367" s="2" t="e">
        <f t="shared" si="303"/>
        <v>#DIV/0!</v>
      </c>
      <c r="AC367" s="2"/>
      <c r="AD367" s="16" t="e">
        <f t="shared" si="304"/>
        <v>#DIV/0!</v>
      </c>
      <c r="AE367" s="16"/>
      <c r="AF367" s="16"/>
      <c r="AG367" s="16"/>
      <c r="AH367" s="16" t="e">
        <f t="shared" si="305"/>
        <v>#DIV/0!</v>
      </c>
      <c r="AI367" s="16"/>
      <c r="AJ367" s="16"/>
      <c r="AK367" s="16"/>
      <c r="AL367" s="16"/>
      <c r="AZ367" s="2" t="e">
        <f t="shared" si="306"/>
        <v>#DIV/0!</v>
      </c>
    </row>
    <row r="368" spans="1:52" x14ac:dyDescent="0.2">
      <c r="A368" s="250"/>
      <c r="B368" s="14" t="s">
        <v>7</v>
      </c>
      <c r="C368" s="2">
        <f t="shared" si="294"/>
        <v>499662267.7147972</v>
      </c>
      <c r="D368" s="2">
        <f t="shared" si="295"/>
        <v>207271334.97087282</v>
      </c>
      <c r="E368" s="2" t="e">
        <f t="shared" si="296"/>
        <v>#DIV/0!</v>
      </c>
      <c r="F368" s="4" t="e">
        <f t="shared" si="297"/>
        <v>#DIV/0!</v>
      </c>
      <c r="G368" s="1" t="e">
        <f t="shared" si="307"/>
        <v>#DIV/0!</v>
      </c>
      <c r="H368" s="1" t="e">
        <f t="shared" si="298"/>
        <v>#DIV/0!</v>
      </c>
      <c r="I368" s="29">
        <f t="shared" si="308"/>
        <v>0.03</v>
      </c>
      <c r="J368" s="2" t="e">
        <f t="shared" si="309"/>
        <v>#DIV/0!</v>
      </c>
      <c r="K368" s="2"/>
      <c r="L368" s="2"/>
      <c r="M368" s="2"/>
      <c r="N368" s="2"/>
      <c r="O368" s="16" t="e">
        <f t="shared" si="299"/>
        <v>#DIV/0!</v>
      </c>
      <c r="P368" s="16" t="e">
        <f t="shared" si="300"/>
        <v>#DIV/0!</v>
      </c>
      <c r="Q368" s="2" t="e">
        <f t="shared" si="310"/>
        <v>#DIV/0!</v>
      </c>
      <c r="R368" s="2"/>
      <c r="S368" s="16" t="e">
        <f t="shared" si="301"/>
        <v>#DIV/0!</v>
      </c>
      <c r="T368" s="16"/>
      <c r="U368" s="2" t="e">
        <f t="shared" si="302"/>
        <v>#DIV/0!</v>
      </c>
      <c r="V368" s="2"/>
      <c r="W368" s="2"/>
      <c r="X368" s="2"/>
      <c r="Y368" s="2"/>
      <c r="Z368" s="2"/>
      <c r="AA368" s="2"/>
      <c r="AB368" s="2" t="e">
        <f t="shared" si="303"/>
        <v>#DIV/0!</v>
      </c>
      <c r="AC368" s="2"/>
      <c r="AD368" s="16" t="e">
        <f t="shared" si="304"/>
        <v>#DIV/0!</v>
      </c>
      <c r="AE368" s="16"/>
      <c r="AF368" s="16"/>
      <c r="AG368" s="16"/>
      <c r="AH368" s="16" t="e">
        <f t="shared" si="305"/>
        <v>#DIV/0!</v>
      </c>
      <c r="AI368" s="16"/>
      <c r="AJ368" s="16"/>
      <c r="AK368" s="16"/>
      <c r="AL368" s="16"/>
      <c r="AZ368" s="2" t="e">
        <f t="shared" si="306"/>
        <v>#DIV/0!</v>
      </c>
    </row>
    <row r="369" spans="1:52" x14ac:dyDescent="0.2">
      <c r="A369" s="250"/>
      <c r="B369" s="14" t="s">
        <v>8</v>
      </c>
      <c r="C369" s="2">
        <f t="shared" si="294"/>
        <v>1408100924.609519</v>
      </c>
      <c r="D369" s="2">
        <f t="shared" si="295"/>
        <v>485387408.27919108</v>
      </c>
      <c r="E369" s="2" t="e">
        <f t="shared" si="296"/>
        <v>#DIV/0!</v>
      </c>
      <c r="F369" s="4" t="e">
        <f t="shared" si="297"/>
        <v>#DIV/0!</v>
      </c>
      <c r="G369" s="1" t="e">
        <f t="shared" si="307"/>
        <v>#DIV/0!</v>
      </c>
      <c r="H369" s="1" t="e">
        <f t="shared" si="298"/>
        <v>#DIV/0!</v>
      </c>
      <c r="I369" s="29">
        <f t="shared" si="308"/>
        <v>0.03</v>
      </c>
      <c r="J369" s="2" t="e">
        <f t="shared" si="309"/>
        <v>#DIV/0!</v>
      </c>
      <c r="K369" s="2"/>
      <c r="L369" s="2"/>
      <c r="M369" s="2"/>
      <c r="N369" s="2"/>
      <c r="O369" s="16" t="e">
        <f t="shared" si="299"/>
        <v>#DIV/0!</v>
      </c>
      <c r="P369" s="16" t="e">
        <f t="shared" si="300"/>
        <v>#DIV/0!</v>
      </c>
      <c r="Q369" s="2" t="e">
        <f t="shared" si="310"/>
        <v>#DIV/0!</v>
      </c>
      <c r="R369" s="2"/>
      <c r="S369" s="16" t="e">
        <f t="shared" si="301"/>
        <v>#DIV/0!</v>
      </c>
      <c r="T369" s="16"/>
      <c r="U369" s="2" t="e">
        <f t="shared" si="302"/>
        <v>#DIV/0!</v>
      </c>
      <c r="V369" s="2"/>
      <c r="W369" s="2"/>
      <c r="X369" s="2"/>
      <c r="Y369" s="2"/>
      <c r="Z369" s="2"/>
      <c r="AA369" s="2"/>
      <c r="AB369" s="2" t="e">
        <f t="shared" si="303"/>
        <v>#DIV/0!</v>
      </c>
      <c r="AC369" s="2"/>
      <c r="AD369" s="16" t="e">
        <f t="shared" si="304"/>
        <v>#DIV/0!</v>
      </c>
      <c r="AE369" s="16"/>
      <c r="AF369" s="16"/>
      <c r="AG369" s="16"/>
      <c r="AH369" s="16" t="e">
        <f t="shared" si="305"/>
        <v>#DIV/0!</v>
      </c>
      <c r="AI369" s="16"/>
      <c r="AJ369" s="16"/>
      <c r="AK369" s="16"/>
      <c r="AL369" s="16"/>
      <c r="AZ369" s="2" t="e">
        <f t="shared" si="306"/>
        <v>#DIV/0!</v>
      </c>
    </row>
    <row r="370" spans="1:52" x14ac:dyDescent="0.2">
      <c r="A370" s="250"/>
      <c r="B370" s="14" t="s">
        <v>9</v>
      </c>
      <c r="C370" s="2">
        <f t="shared" si="294"/>
        <v>141755130.48590124</v>
      </c>
      <c r="D370" s="2">
        <f t="shared" si="295"/>
        <v>60911935.508305684</v>
      </c>
      <c r="E370" s="2" t="e">
        <f t="shared" si="296"/>
        <v>#DIV/0!</v>
      </c>
      <c r="F370" s="4" t="e">
        <f t="shared" si="297"/>
        <v>#DIV/0!</v>
      </c>
      <c r="G370" s="1" t="e">
        <f t="shared" si="307"/>
        <v>#DIV/0!</v>
      </c>
      <c r="H370" s="1" t="e">
        <f t="shared" si="298"/>
        <v>#DIV/0!</v>
      </c>
      <c r="I370" s="29">
        <f t="shared" si="308"/>
        <v>0.03</v>
      </c>
      <c r="J370" s="2" t="e">
        <f t="shared" si="309"/>
        <v>#DIV/0!</v>
      </c>
      <c r="K370" s="2"/>
      <c r="L370" s="2"/>
      <c r="M370" s="2"/>
      <c r="N370" s="2"/>
      <c r="O370" s="16" t="e">
        <f t="shared" si="299"/>
        <v>#DIV/0!</v>
      </c>
      <c r="P370" s="16" t="e">
        <f t="shared" si="300"/>
        <v>#DIV/0!</v>
      </c>
      <c r="Q370" s="2" t="e">
        <f t="shared" si="310"/>
        <v>#DIV/0!</v>
      </c>
      <c r="R370" s="2"/>
      <c r="S370" s="16" t="e">
        <f t="shared" si="301"/>
        <v>#DIV/0!</v>
      </c>
      <c r="T370" s="16"/>
      <c r="U370" s="2" t="e">
        <f t="shared" si="302"/>
        <v>#DIV/0!</v>
      </c>
      <c r="V370" s="2"/>
      <c r="W370" s="2"/>
      <c r="X370" s="2"/>
      <c r="Y370" s="2"/>
      <c r="Z370" s="2"/>
      <c r="AA370" s="2"/>
      <c r="AB370" s="2" t="e">
        <f t="shared" si="303"/>
        <v>#DIV/0!</v>
      </c>
      <c r="AC370" s="2"/>
      <c r="AD370" s="16" t="e">
        <f t="shared" si="304"/>
        <v>#DIV/0!</v>
      </c>
      <c r="AE370" s="16"/>
      <c r="AF370" s="16"/>
      <c r="AG370" s="16"/>
      <c r="AH370" s="16" t="e">
        <f t="shared" si="305"/>
        <v>#DIV/0!</v>
      </c>
      <c r="AI370" s="16"/>
      <c r="AJ370" s="16"/>
      <c r="AK370" s="16"/>
      <c r="AL370" s="16"/>
      <c r="AZ370" s="2" t="e">
        <f t="shared" si="306"/>
        <v>#DIV/0!</v>
      </c>
    </row>
    <row r="371" spans="1:52" x14ac:dyDescent="0.2">
      <c r="A371" s="250"/>
      <c r="B371" s="14" t="s">
        <v>10</v>
      </c>
      <c r="C371" s="2">
        <f t="shared" si="294"/>
        <v>1888701563.8155401</v>
      </c>
      <c r="D371" s="2">
        <f t="shared" si="295"/>
        <v>1220687119.4450829</v>
      </c>
      <c r="E371" s="2" t="e">
        <f t="shared" si="296"/>
        <v>#DIV/0!</v>
      </c>
      <c r="F371" s="4" t="e">
        <f t="shared" si="297"/>
        <v>#DIV/0!</v>
      </c>
      <c r="G371" s="1" t="e">
        <f t="shared" si="307"/>
        <v>#DIV/0!</v>
      </c>
      <c r="H371" s="1" t="e">
        <f t="shared" si="298"/>
        <v>#DIV/0!</v>
      </c>
      <c r="I371" s="29">
        <f t="shared" si="308"/>
        <v>0.03</v>
      </c>
      <c r="J371" s="2" t="e">
        <f t="shared" si="309"/>
        <v>#DIV/0!</v>
      </c>
      <c r="K371" s="2"/>
      <c r="L371" s="2"/>
      <c r="M371" s="2"/>
      <c r="N371" s="2"/>
      <c r="O371" s="16" t="e">
        <f t="shared" si="299"/>
        <v>#DIV/0!</v>
      </c>
      <c r="P371" s="16" t="e">
        <f t="shared" si="300"/>
        <v>#DIV/0!</v>
      </c>
      <c r="Q371" s="2" t="e">
        <f t="shared" si="310"/>
        <v>#DIV/0!</v>
      </c>
      <c r="R371" s="2"/>
      <c r="S371" s="16" t="e">
        <f t="shared" si="301"/>
        <v>#DIV/0!</v>
      </c>
      <c r="T371" s="16"/>
      <c r="U371" s="2" t="e">
        <f t="shared" si="302"/>
        <v>#DIV/0!</v>
      </c>
      <c r="V371" s="2"/>
      <c r="W371" s="2"/>
      <c r="X371" s="2"/>
      <c r="Y371" s="2"/>
      <c r="Z371" s="2"/>
      <c r="AA371" s="2"/>
      <c r="AB371" s="2" t="e">
        <f t="shared" si="303"/>
        <v>#DIV/0!</v>
      </c>
      <c r="AC371" s="2"/>
      <c r="AD371" s="16" t="e">
        <f t="shared" si="304"/>
        <v>#DIV/0!</v>
      </c>
      <c r="AE371" s="16"/>
      <c r="AF371" s="16"/>
      <c r="AG371" s="16"/>
      <c r="AH371" s="16" t="e">
        <f t="shared" si="305"/>
        <v>#DIV/0!</v>
      </c>
      <c r="AI371" s="16"/>
      <c r="AJ371" s="16"/>
      <c r="AK371" s="16"/>
      <c r="AL371" s="16"/>
      <c r="AZ371" s="2" t="e">
        <f t="shared" si="306"/>
        <v>#DIV/0!</v>
      </c>
    </row>
    <row r="372" spans="1:52" x14ac:dyDescent="0.2">
      <c r="A372" s="250"/>
      <c r="B372" s="14" t="s">
        <v>11</v>
      </c>
      <c r="C372" s="2">
        <f t="shared" si="294"/>
        <v>301088251.35181785</v>
      </c>
      <c r="D372" s="2">
        <f t="shared" si="295"/>
        <v>106031646.4492097</v>
      </c>
      <c r="E372" s="2" t="e">
        <f t="shared" si="296"/>
        <v>#DIV/0!</v>
      </c>
      <c r="F372" s="4" t="e">
        <f t="shared" si="297"/>
        <v>#DIV/0!</v>
      </c>
      <c r="G372" s="1" t="e">
        <f t="shared" si="307"/>
        <v>#DIV/0!</v>
      </c>
      <c r="H372" s="1" t="e">
        <f t="shared" si="298"/>
        <v>#DIV/0!</v>
      </c>
      <c r="I372" s="29">
        <f t="shared" si="308"/>
        <v>0.03</v>
      </c>
      <c r="J372" s="2" t="e">
        <f t="shared" si="309"/>
        <v>#DIV/0!</v>
      </c>
      <c r="K372" s="2"/>
      <c r="L372" s="2"/>
      <c r="M372" s="2"/>
      <c r="N372" s="2"/>
      <c r="O372" s="16" t="e">
        <f t="shared" si="299"/>
        <v>#DIV/0!</v>
      </c>
      <c r="P372" s="16" t="e">
        <f t="shared" si="300"/>
        <v>#DIV/0!</v>
      </c>
      <c r="Q372" s="2" t="e">
        <f t="shared" si="310"/>
        <v>#DIV/0!</v>
      </c>
      <c r="R372" s="2"/>
      <c r="S372" s="16" t="e">
        <f t="shared" si="301"/>
        <v>#DIV/0!</v>
      </c>
      <c r="T372" s="16"/>
      <c r="U372" s="2" t="e">
        <f t="shared" si="302"/>
        <v>#DIV/0!</v>
      </c>
      <c r="V372" s="2"/>
      <c r="W372" s="2"/>
      <c r="X372" s="2"/>
      <c r="Y372" s="2"/>
      <c r="Z372" s="2"/>
      <c r="AA372" s="2"/>
      <c r="AB372" s="2" t="e">
        <f t="shared" si="303"/>
        <v>#DIV/0!</v>
      </c>
      <c r="AC372" s="2"/>
      <c r="AD372" s="16" t="e">
        <f t="shared" si="304"/>
        <v>#DIV/0!</v>
      </c>
      <c r="AE372" s="16"/>
      <c r="AF372" s="16"/>
      <c r="AG372" s="16"/>
      <c r="AH372" s="16" t="e">
        <f t="shared" si="305"/>
        <v>#DIV/0!</v>
      </c>
      <c r="AI372" s="16"/>
      <c r="AJ372" s="16"/>
      <c r="AK372" s="16"/>
      <c r="AL372" s="16"/>
      <c r="AZ372" s="2" t="e">
        <f t="shared" si="306"/>
        <v>#DIV/0!</v>
      </c>
    </row>
    <row r="373" spans="1:52" x14ac:dyDescent="0.2">
      <c r="A373" s="250"/>
      <c r="B373" s="15" t="s">
        <v>14</v>
      </c>
      <c r="C373" s="30">
        <f>SUM(C361:C372)</f>
        <v>6841103121.4459629</v>
      </c>
      <c r="D373" s="30">
        <f>SUM(D361:D372)</f>
        <v>2954141459.8760219</v>
      </c>
      <c r="E373" s="30" t="e">
        <f>SUM(E361:E372)</f>
        <v>#DIV/0!</v>
      </c>
      <c r="F373" s="30" t="e">
        <f>SUM(F361:F372)</f>
        <v>#DIV/0!</v>
      </c>
      <c r="G373" s="1" t="e">
        <f>1-H373</f>
        <v>#DIV/0!</v>
      </c>
      <c r="H373" s="11" t="e">
        <f t="shared" si="298"/>
        <v>#DIV/0!</v>
      </c>
      <c r="J373" s="30" t="e">
        <f>SUM(J361:J372)</f>
        <v>#DIV/0!</v>
      </c>
      <c r="K373" s="30"/>
      <c r="L373" s="30"/>
      <c r="M373" s="30"/>
      <c r="N373" s="30"/>
      <c r="O373" s="16"/>
      <c r="P373" s="16"/>
      <c r="Q373" s="30" t="e">
        <f>SUM(Q361:Q372)</f>
        <v>#DIV/0!</v>
      </c>
      <c r="R373" s="30"/>
      <c r="S373" s="30"/>
      <c r="T373" s="30"/>
      <c r="U373" s="30" t="e">
        <f>SUM(U361:U372)</f>
        <v>#DIV/0!</v>
      </c>
      <c r="V373" s="30"/>
      <c r="W373" s="30"/>
      <c r="X373" s="30"/>
      <c r="Y373" s="30"/>
      <c r="Z373" s="30"/>
      <c r="AA373" s="30"/>
      <c r="AB373" s="30" t="e">
        <f>SUM(AB361:AB372)</f>
        <v>#DIV/0!</v>
      </c>
      <c r="AC373" s="30"/>
      <c r="AD373" s="16" t="e">
        <f t="shared" si="304"/>
        <v>#DIV/0!</v>
      </c>
      <c r="AE373" s="16"/>
      <c r="AF373" s="16"/>
      <c r="AG373" s="16"/>
      <c r="AH373" s="16" t="e">
        <f t="shared" si="305"/>
        <v>#DIV/0!</v>
      </c>
      <c r="AI373" s="16"/>
      <c r="AJ373" s="16"/>
      <c r="AK373" s="16"/>
      <c r="AL373" s="16"/>
      <c r="AZ373" s="3" t="e">
        <f>SUM(AZ361:AZ372)</f>
        <v>#DIV/0!</v>
      </c>
    </row>
    <row r="374" spans="1:52" x14ac:dyDescent="0.2">
      <c r="C374" s="30"/>
      <c r="D374" s="30"/>
      <c r="E374" s="30"/>
      <c r="F374" s="30"/>
      <c r="G374" s="21" t="e">
        <f>SUM(G361:G372)</f>
        <v>#DIV/0!</v>
      </c>
      <c r="H374" s="21" t="e">
        <f>SUM(H361:H372)</f>
        <v>#DIV/0!</v>
      </c>
      <c r="I374" s="10" t="s">
        <v>30</v>
      </c>
      <c r="J374" s="17" t="e">
        <f>C356-SUM(J361:J372)</f>
        <v>#DIV/0!</v>
      </c>
      <c r="K374" s="17"/>
      <c r="L374" s="17"/>
      <c r="M374" s="17"/>
      <c r="N374" s="17"/>
    </row>
    <row r="377" spans="1:52" x14ac:dyDescent="0.2">
      <c r="A377" s="250">
        <v>15</v>
      </c>
      <c r="B377" t="s">
        <v>34</v>
      </c>
      <c r="C377" s="4" t="e">
        <f>AZ373</f>
        <v>#DIV/0!</v>
      </c>
      <c r="D377" s="4"/>
    </row>
    <row r="378" spans="1:52" x14ac:dyDescent="0.2">
      <c r="A378" s="250"/>
      <c r="B378" t="s">
        <v>27</v>
      </c>
      <c r="C378" s="6" t="e">
        <f>C377*(1+C379)</f>
        <v>#DIV/0!</v>
      </c>
      <c r="D378" s="6"/>
    </row>
    <row r="379" spans="1:52" x14ac:dyDescent="0.2">
      <c r="A379" s="250"/>
      <c r="B379" t="s">
        <v>28</v>
      </c>
      <c r="C379" s="20">
        <f>C4</f>
        <v>0.12</v>
      </c>
      <c r="D379" s="20"/>
    </row>
    <row r="380" spans="1:52" x14ac:dyDescent="0.2">
      <c r="A380" s="250"/>
      <c r="B380" t="s">
        <v>16</v>
      </c>
      <c r="C380" s="20">
        <f>C5</f>
        <v>0.03</v>
      </c>
      <c r="D380" s="20"/>
    </row>
    <row r="381" spans="1:52" x14ac:dyDescent="0.2">
      <c r="A381" s="250"/>
      <c r="B381" t="s">
        <v>31</v>
      </c>
      <c r="C381" s="6" t="e">
        <f>C378-C377</f>
        <v>#DIV/0!</v>
      </c>
      <c r="D381" s="6"/>
    </row>
    <row r="382" spans="1:52" x14ac:dyDescent="0.2">
      <c r="A382" s="250"/>
      <c r="B382" t="s">
        <v>48</v>
      </c>
      <c r="C382" s="20">
        <f>((1+$C$5)^A377)-1</f>
        <v>0.55796741660076443</v>
      </c>
      <c r="D382" s="20"/>
    </row>
    <row r="383" spans="1:52" ht="21" x14ac:dyDescent="0.25">
      <c r="A383" s="250"/>
      <c r="F383" s="6"/>
      <c r="G383" s="6"/>
      <c r="I383" s="251" t="s">
        <v>18</v>
      </c>
      <c r="J383" s="251"/>
      <c r="K383" s="251"/>
      <c r="L383" s="251"/>
      <c r="M383" s="251"/>
      <c r="N383" s="251"/>
      <c r="O383" s="251"/>
      <c r="P383" s="251"/>
      <c r="Q383" s="251"/>
      <c r="R383" s="251"/>
      <c r="S383" s="251"/>
      <c r="T383" s="251"/>
      <c r="U383" s="251"/>
      <c r="V383" s="251"/>
      <c r="W383" s="251"/>
      <c r="X383" s="251"/>
      <c r="Y383" s="251"/>
      <c r="Z383" s="251"/>
      <c r="AA383" s="251"/>
      <c r="AB383" s="251"/>
      <c r="AC383" s="251"/>
      <c r="AD383" s="251"/>
      <c r="AE383" s="107"/>
      <c r="AF383" s="107"/>
      <c r="AG383" s="107"/>
      <c r="AH383" s="107"/>
      <c r="AI383" s="107"/>
      <c r="AJ383" s="107"/>
      <c r="AK383" s="107"/>
      <c r="AL383" s="107"/>
    </row>
    <row r="384" spans="1:52" x14ac:dyDescent="0.2">
      <c r="A384" s="250" t="s">
        <v>51</v>
      </c>
      <c r="I384" s="255" t="s">
        <v>19</v>
      </c>
      <c r="J384" s="255"/>
      <c r="K384" s="255"/>
      <c r="L384" s="255"/>
      <c r="M384" s="255"/>
      <c r="N384" s="255"/>
      <c r="O384" s="255"/>
      <c r="P384" s="255"/>
      <c r="Q384" s="255"/>
      <c r="R384" s="255"/>
      <c r="S384" s="255"/>
      <c r="T384" s="255"/>
      <c r="U384" s="255"/>
      <c r="V384" s="255"/>
      <c r="W384" s="255"/>
      <c r="X384" s="255"/>
      <c r="Y384" s="255"/>
      <c r="Z384" s="255"/>
      <c r="AA384" s="255"/>
      <c r="AB384" s="255"/>
      <c r="AC384" s="255"/>
      <c r="AD384" s="255"/>
      <c r="AE384" s="115"/>
      <c r="AF384" s="115"/>
      <c r="AG384" s="115"/>
      <c r="AH384" s="115"/>
      <c r="AI384" s="115"/>
      <c r="AJ384" s="115"/>
      <c r="AK384" s="115"/>
      <c r="AL384" s="115"/>
    </row>
    <row r="385" spans="1:52" ht="49" thickBot="1" x14ac:dyDescent="0.25">
      <c r="A385" s="250"/>
      <c r="B385" s="22" t="s">
        <v>12</v>
      </c>
      <c r="C385" s="13" t="s">
        <v>15</v>
      </c>
      <c r="D385" s="13" t="s">
        <v>63</v>
      </c>
      <c r="E385" s="13" t="s">
        <v>29</v>
      </c>
      <c r="F385" s="13" t="s">
        <v>13</v>
      </c>
      <c r="G385" s="13" t="s">
        <v>50</v>
      </c>
      <c r="H385" s="13" t="s">
        <v>17</v>
      </c>
      <c r="I385" s="28" t="s">
        <v>20</v>
      </c>
      <c r="J385" s="28" t="s">
        <v>21</v>
      </c>
      <c r="K385" s="28"/>
      <c r="L385" s="28"/>
      <c r="M385" s="28"/>
      <c r="N385" s="28"/>
      <c r="O385" s="28" t="s">
        <v>22</v>
      </c>
      <c r="P385" s="28" t="s">
        <v>49</v>
      </c>
      <c r="Q385" s="28" t="s">
        <v>23</v>
      </c>
      <c r="R385" s="28"/>
      <c r="S385" s="28" t="s">
        <v>71</v>
      </c>
      <c r="T385" s="28"/>
      <c r="U385" s="28" t="s">
        <v>72</v>
      </c>
      <c r="V385" s="28"/>
      <c r="W385" s="28"/>
      <c r="X385" s="28"/>
      <c r="Y385" s="28"/>
      <c r="Z385" s="28"/>
      <c r="AA385" s="28"/>
      <c r="AB385" s="28" t="s">
        <v>24</v>
      </c>
      <c r="AC385" s="28"/>
      <c r="AD385" s="28" t="s">
        <v>25</v>
      </c>
      <c r="AE385" s="116"/>
      <c r="AF385" s="116"/>
      <c r="AG385" s="116"/>
      <c r="AH385" s="28" t="s">
        <v>25</v>
      </c>
      <c r="AI385" s="116"/>
      <c r="AJ385" s="116"/>
      <c r="AK385" s="116"/>
      <c r="AL385" s="116"/>
      <c r="AZ385" s="28" t="s">
        <v>32</v>
      </c>
    </row>
    <row r="386" spans="1:52" ht="16" thickTop="1" x14ac:dyDescent="0.2">
      <c r="A386" s="250"/>
      <c r="B386" s="14" t="s">
        <v>0</v>
      </c>
      <c r="C386" s="2">
        <f t="shared" ref="C386:C397" si="311">VLOOKUP($B386,$B$10:$Q$23,2,FALSE)*(1+$C$382)</f>
        <v>123011137.29467706</v>
      </c>
      <c r="D386" s="2">
        <f t="shared" ref="D386:D397" si="312">VLOOKUP($B386,$B$10:$Q$23,3,FALSE)*(1+$C$382)</f>
        <v>19989752.224646889</v>
      </c>
      <c r="E386" s="2" t="e">
        <f t="shared" ref="E386:E397" si="313">AZ361</f>
        <v>#DIV/0!</v>
      </c>
      <c r="F386" s="4" t="e">
        <f t="shared" ref="F386:F397" si="314">C386-E386-D386</f>
        <v>#DIV/0!</v>
      </c>
      <c r="G386" s="1" t="e">
        <f>1-H386</f>
        <v>#DIV/0!</v>
      </c>
      <c r="H386" s="1" t="e">
        <f>MAX(0,F386/C386)</f>
        <v>#DIV/0!</v>
      </c>
      <c r="I386" s="29">
        <f>MIN($C$5,($C$4*0.5))*$C$8</f>
        <v>0.03</v>
      </c>
      <c r="J386" s="2" t="e">
        <f>I386*E386</f>
        <v>#DIV/0!</v>
      </c>
      <c r="K386" s="2"/>
      <c r="L386" s="2"/>
      <c r="M386" s="2"/>
      <c r="N386" s="2"/>
      <c r="O386" s="16" t="e">
        <f t="shared" ref="O386:O397" si="315">H386/$H$399</f>
        <v>#DIV/0!</v>
      </c>
      <c r="P386" s="16" t="e">
        <f t="shared" ref="P386:P397" si="316">G386/$G$399</f>
        <v>#DIV/0!</v>
      </c>
      <c r="Q386" s="2" t="e">
        <f>$J$399*IF($J$324&lt;0,P386,O386)*0.5</f>
        <v>#DIV/0!</v>
      </c>
      <c r="R386" s="2"/>
      <c r="S386" s="16" t="e">
        <f t="shared" ref="S386:S397" si="317">MAX(F386,0)/$F$398</f>
        <v>#DIV/0!</v>
      </c>
      <c r="T386" s="16"/>
      <c r="U386" s="2" t="e">
        <f t="shared" ref="U386:U397" si="318">S386*$J$399*0.5</f>
        <v>#DIV/0!</v>
      </c>
      <c r="V386" s="2"/>
      <c r="W386" s="2"/>
      <c r="X386" s="2"/>
      <c r="Y386" s="2"/>
      <c r="Z386" s="2"/>
      <c r="AA386" s="2"/>
      <c r="AB386" s="2" t="e">
        <f t="shared" ref="AB386:AB397" si="319">J386+Q386+U386</f>
        <v>#DIV/0!</v>
      </c>
      <c r="AC386" s="2"/>
      <c r="AD386" s="16" t="e">
        <f t="shared" ref="AD386:AD398" si="320">AB386/E386</f>
        <v>#DIV/0!</v>
      </c>
      <c r="AE386" s="16"/>
      <c r="AF386" s="16"/>
      <c r="AG386" s="16"/>
      <c r="AH386" s="16" t="e">
        <f t="shared" ref="AH386:AH398" si="321">AG386/H386</f>
        <v>#DIV/0!</v>
      </c>
      <c r="AI386" s="16"/>
      <c r="AJ386" s="16"/>
      <c r="AK386" s="16"/>
      <c r="AL386" s="16"/>
      <c r="AZ386" s="2" t="e">
        <f t="shared" ref="AZ386:AZ397" si="322">AB386+E386</f>
        <v>#DIV/0!</v>
      </c>
    </row>
    <row r="387" spans="1:52" x14ac:dyDescent="0.2">
      <c r="A387" s="250"/>
      <c r="B387" s="14" t="s">
        <v>1</v>
      </c>
      <c r="C387" s="2">
        <f t="shared" si="311"/>
        <v>262272183.99529719</v>
      </c>
      <c r="D387" s="2">
        <f t="shared" si="312"/>
        <v>88762079.841955438</v>
      </c>
      <c r="E387" s="2" t="e">
        <f t="shared" si="313"/>
        <v>#DIV/0!</v>
      </c>
      <c r="F387" s="4" t="e">
        <f t="shared" si="314"/>
        <v>#DIV/0!</v>
      </c>
      <c r="G387" s="1" t="e">
        <f t="shared" ref="G387:G397" si="323">1-H387</f>
        <v>#DIV/0!</v>
      </c>
      <c r="H387" s="1" t="e">
        <f t="shared" ref="H387:H398" si="324">MAX(0,F387/C387)</f>
        <v>#DIV/0!</v>
      </c>
      <c r="I387" s="29">
        <f t="shared" ref="I387:I397" si="325">MIN($C$5,($C$4*0.5))*$C$8</f>
        <v>0.03</v>
      </c>
      <c r="J387" s="2" t="e">
        <f t="shared" ref="J387:J397" si="326">I387*E387</f>
        <v>#DIV/0!</v>
      </c>
      <c r="K387" s="2"/>
      <c r="L387" s="2"/>
      <c r="M387" s="2"/>
      <c r="N387" s="2"/>
      <c r="O387" s="16" t="e">
        <f t="shared" si="315"/>
        <v>#DIV/0!</v>
      </c>
      <c r="P387" s="16" t="e">
        <f t="shared" si="316"/>
        <v>#DIV/0!</v>
      </c>
      <c r="Q387" s="2" t="e">
        <f t="shared" ref="Q387:Q397" si="327">$J$399*IF($J$324&lt;0,P387,O387)*0.5</f>
        <v>#DIV/0!</v>
      </c>
      <c r="R387" s="2"/>
      <c r="S387" s="16" t="e">
        <f t="shared" si="317"/>
        <v>#DIV/0!</v>
      </c>
      <c r="T387" s="16"/>
      <c r="U387" s="2" t="e">
        <f t="shared" si="318"/>
        <v>#DIV/0!</v>
      </c>
      <c r="V387" s="2"/>
      <c r="W387" s="2"/>
      <c r="X387" s="2"/>
      <c r="Y387" s="2"/>
      <c r="Z387" s="2"/>
      <c r="AA387" s="2"/>
      <c r="AB387" s="2" t="e">
        <f t="shared" si="319"/>
        <v>#DIV/0!</v>
      </c>
      <c r="AC387" s="2"/>
      <c r="AD387" s="16" t="e">
        <f t="shared" si="320"/>
        <v>#DIV/0!</v>
      </c>
      <c r="AE387" s="16"/>
      <c r="AF387" s="16"/>
      <c r="AG387" s="16"/>
      <c r="AH387" s="16" t="e">
        <f t="shared" si="321"/>
        <v>#DIV/0!</v>
      </c>
      <c r="AI387" s="16"/>
      <c r="AJ387" s="16"/>
      <c r="AK387" s="16"/>
      <c r="AL387" s="16"/>
      <c r="AZ387" s="2" t="e">
        <f t="shared" si="322"/>
        <v>#DIV/0!</v>
      </c>
    </row>
    <row r="388" spans="1:52" x14ac:dyDescent="0.2">
      <c r="A388" s="250"/>
      <c r="B388" s="14" t="s">
        <v>2</v>
      </c>
      <c r="C388" s="2">
        <f t="shared" si="311"/>
        <v>180965300.3466748</v>
      </c>
      <c r="D388" s="2">
        <f t="shared" si="312"/>
        <v>41327253.763146102</v>
      </c>
      <c r="E388" s="2" t="e">
        <f t="shared" si="313"/>
        <v>#DIV/0!</v>
      </c>
      <c r="F388" s="4" t="e">
        <f t="shared" si="314"/>
        <v>#DIV/0!</v>
      </c>
      <c r="G388" s="1" t="e">
        <f t="shared" si="323"/>
        <v>#DIV/0!</v>
      </c>
      <c r="H388" s="1" t="e">
        <f t="shared" si="324"/>
        <v>#DIV/0!</v>
      </c>
      <c r="I388" s="29">
        <f t="shared" si="325"/>
        <v>0.03</v>
      </c>
      <c r="J388" s="2" t="e">
        <f t="shared" si="326"/>
        <v>#DIV/0!</v>
      </c>
      <c r="K388" s="2"/>
      <c r="L388" s="2"/>
      <c r="M388" s="2"/>
      <c r="N388" s="2"/>
      <c r="O388" s="16" t="e">
        <f t="shared" si="315"/>
        <v>#DIV/0!</v>
      </c>
      <c r="P388" s="16" t="e">
        <f t="shared" si="316"/>
        <v>#DIV/0!</v>
      </c>
      <c r="Q388" s="2" t="e">
        <f t="shared" si="327"/>
        <v>#DIV/0!</v>
      </c>
      <c r="R388" s="2"/>
      <c r="S388" s="16" t="e">
        <f t="shared" si="317"/>
        <v>#DIV/0!</v>
      </c>
      <c r="T388" s="16"/>
      <c r="U388" s="2" t="e">
        <f t="shared" si="318"/>
        <v>#DIV/0!</v>
      </c>
      <c r="V388" s="2"/>
      <c r="W388" s="2"/>
      <c r="X388" s="2"/>
      <c r="Y388" s="2"/>
      <c r="Z388" s="2"/>
      <c r="AA388" s="2"/>
      <c r="AB388" s="2" t="e">
        <f t="shared" si="319"/>
        <v>#DIV/0!</v>
      </c>
      <c r="AC388" s="2"/>
      <c r="AD388" s="16" t="e">
        <f t="shared" si="320"/>
        <v>#DIV/0!</v>
      </c>
      <c r="AE388" s="16"/>
      <c r="AF388" s="16"/>
      <c r="AG388" s="16"/>
      <c r="AH388" s="16" t="e">
        <f t="shared" si="321"/>
        <v>#DIV/0!</v>
      </c>
      <c r="AI388" s="16"/>
      <c r="AJ388" s="16"/>
      <c r="AK388" s="16"/>
      <c r="AL388" s="16"/>
      <c r="AZ388" s="2" t="e">
        <f t="shared" si="322"/>
        <v>#DIV/0!</v>
      </c>
    </row>
    <row r="389" spans="1:52" x14ac:dyDescent="0.2">
      <c r="A389" s="250"/>
      <c r="B389" s="14" t="s">
        <v>3</v>
      </c>
      <c r="C389" s="2">
        <f t="shared" si="311"/>
        <v>745720307.26861489</v>
      </c>
      <c r="D389" s="2">
        <f t="shared" si="312"/>
        <v>294809102.35430855</v>
      </c>
      <c r="E389" s="2" t="e">
        <f t="shared" si="313"/>
        <v>#DIV/0!</v>
      </c>
      <c r="F389" s="4" t="e">
        <f t="shared" si="314"/>
        <v>#DIV/0!</v>
      </c>
      <c r="G389" s="1" t="e">
        <f t="shared" si="323"/>
        <v>#DIV/0!</v>
      </c>
      <c r="H389" s="1" t="e">
        <f t="shared" si="324"/>
        <v>#DIV/0!</v>
      </c>
      <c r="I389" s="29">
        <f t="shared" si="325"/>
        <v>0.03</v>
      </c>
      <c r="J389" s="2" t="e">
        <f t="shared" si="326"/>
        <v>#DIV/0!</v>
      </c>
      <c r="K389" s="2"/>
      <c r="L389" s="2"/>
      <c r="M389" s="2"/>
      <c r="N389" s="2"/>
      <c r="O389" s="16" t="e">
        <f t="shared" si="315"/>
        <v>#DIV/0!</v>
      </c>
      <c r="P389" s="16" t="e">
        <f t="shared" si="316"/>
        <v>#DIV/0!</v>
      </c>
      <c r="Q389" s="2" t="e">
        <f t="shared" si="327"/>
        <v>#DIV/0!</v>
      </c>
      <c r="R389" s="2"/>
      <c r="S389" s="16" t="e">
        <f t="shared" si="317"/>
        <v>#DIV/0!</v>
      </c>
      <c r="T389" s="16"/>
      <c r="U389" s="2" t="e">
        <f t="shared" si="318"/>
        <v>#DIV/0!</v>
      </c>
      <c r="V389" s="2"/>
      <c r="W389" s="2"/>
      <c r="X389" s="2"/>
      <c r="Y389" s="2"/>
      <c r="Z389" s="2"/>
      <c r="AA389" s="2"/>
      <c r="AB389" s="2" t="e">
        <f t="shared" si="319"/>
        <v>#DIV/0!</v>
      </c>
      <c r="AC389" s="2"/>
      <c r="AD389" s="16" t="e">
        <f t="shared" si="320"/>
        <v>#DIV/0!</v>
      </c>
      <c r="AE389" s="16"/>
      <c r="AF389" s="16"/>
      <c r="AG389" s="16"/>
      <c r="AH389" s="16" t="e">
        <f t="shared" si="321"/>
        <v>#DIV/0!</v>
      </c>
      <c r="AI389" s="16"/>
      <c r="AJ389" s="16"/>
      <c r="AK389" s="16"/>
      <c r="AL389" s="16"/>
      <c r="AZ389" s="2" t="e">
        <f t="shared" si="322"/>
        <v>#DIV/0!</v>
      </c>
    </row>
    <row r="390" spans="1:52" x14ac:dyDescent="0.2">
      <c r="A390" s="250"/>
      <c r="B390" s="14" t="s">
        <v>4</v>
      </c>
      <c r="C390" s="2">
        <f t="shared" si="311"/>
        <v>268442976.96614987</v>
      </c>
      <c r="D390" s="2">
        <f t="shared" si="312"/>
        <v>45324539.589783296</v>
      </c>
      <c r="E390" s="2" t="e">
        <f t="shared" si="313"/>
        <v>#DIV/0!</v>
      </c>
      <c r="F390" s="4" t="e">
        <f t="shared" si="314"/>
        <v>#DIV/0!</v>
      </c>
      <c r="G390" s="1" t="e">
        <f t="shared" si="323"/>
        <v>#DIV/0!</v>
      </c>
      <c r="H390" s="1" t="e">
        <f t="shared" si="324"/>
        <v>#DIV/0!</v>
      </c>
      <c r="I390" s="29">
        <f t="shared" si="325"/>
        <v>0.03</v>
      </c>
      <c r="J390" s="2" t="e">
        <f t="shared" si="326"/>
        <v>#DIV/0!</v>
      </c>
      <c r="K390" s="2"/>
      <c r="L390" s="2"/>
      <c r="M390" s="2"/>
      <c r="N390" s="2"/>
      <c r="O390" s="16" t="e">
        <f t="shared" si="315"/>
        <v>#DIV/0!</v>
      </c>
      <c r="P390" s="16" t="e">
        <f t="shared" si="316"/>
        <v>#DIV/0!</v>
      </c>
      <c r="Q390" s="2" t="e">
        <f t="shared" si="327"/>
        <v>#DIV/0!</v>
      </c>
      <c r="R390" s="2"/>
      <c r="S390" s="16" t="e">
        <f t="shared" si="317"/>
        <v>#DIV/0!</v>
      </c>
      <c r="T390" s="16"/>
      <c r="U390" s="2" t="e">
        <f t="shared" si="318"/>
        <v>#DIV/0!</v>
      </c>
      <c r="V390" s="2"/>
      <c r="W390" s="2"/>
      <c r="X390" s="2"/>
      <c r="Y390" s="2"/>
      <c r="Z390" s="2"/>
      <c r="AA390" s="2"/>
      <c r="AB390" s="2" t="e">
        <f t="shared" si="319"/>
        <v>#DIV/0!</v>
      </c>
      <c r="AC390" s="2"/>
      <c r="AD390" s="16" t="e">
        <f t="shared" si="320"/>
        <v>#DIV/0!</v>
      </c>
      <c r="AE390" s="16"/>
      <c r="AF390" s="16"/>
      <c r="AG390" s="16"/>
      <c r="AH390" s="16" t="e">
        <f t="shared" si="321"/>
        <v>#DIV/0!</v>
      </c>
      <c r="AI390" s="16"/>
      <c r="AJ390" s="16"/>
      <c r="AK390" s="16"/>
      <c r="AL390" s="16"/>
      <c r="AZ390" s="2" t="e">
        <f t="shared" si="322"/>
        <v>#DIV/0!</v>
      </c>
    </row>
    <row r="391" spans="1:52" x14ac:dyDescent="0.2">
      <c r="A391" s="250"/>
      <c r="B391" s="14" t="s">
        <v>5</v>
      </c>
      <c r="C391" s="2">
        <f t="shared" si="311"/>
        <v>635791638.25361717</v>
      </c>
      <c r="D391" s="2">
        <f t="shared" si="312"/>
        <v>202276947.09802946</v>
      </c>
      <c r="E391" s="2" t="e">
        <f t="shared" si="313"/>
        <v>#DIV/0!</v>
      </c>
      <c r="F391" s="4" t="e">
        <f t="shared" si="314"/>
        <v>#DIV/0!</v>
      </c>
      <c r="G391" s="1" t="e">
        <f t="shared" si="323"/>
        <v>#DIV/0!</v>
      </c>
      <c r="H391" s="1" t="e">
        <f t="shared" si="324"/>
        <v>#DIV/0!</v>
      </c>
      <c r="I391" s="29">
        <f t="shared" si="325"/>
        <v>0.03</v>
      </c>
      <c r="J391" s="2" t="e">
        <f t="shared" si="326"/>
        <v>#DIV/0!</v>
      </c>
      <c r="K391" s="2"/>
      <c r="L391" s="2"/>
      <c r="M391" s="2"/>
      <c r="N391" s="2"/>
      <c r="O391" s="16" t="e">
        <f t="shared" si="315"/>
        <v>#DIV/0!</v>
      </c>
      <c r="P391" s="16" t="e">
        <f t="shared" si="316"/>
        <v>#DIV/0!</v>
      </c>
      <c r="Q391" s="2" t="e">
        <f t="shared" si="327"/>
        <v>#DIV/0!</v>
      </c>
      <c r="R391" s="2"/>
      <c r="S391" s="16" t="e">
        <f t="shared" si="317"/>
        <v>#DIV/0!</v>
      </c>
      <c r="T391" s="16"/>
      <c r="U391" s="2" t="e">
        <f t="shared" si="318"/>
        <v>#DIV/0!</v>
      </c>
      <c r="V391" s="2"/>
      <c r="W391" s="2"/>
      <c r="X391" s="2"/>
      <c r="Y391" s="2"/>
      <c r="Z391" s="2"/>
      <c r="AA391" s="2"/>
      <c r="AB391" s="2" t="e">
        <f t="shared" si="319"/>
        <v>#DIV/0!</v>
      </c>
      <c r="AC391" s="2"/>
      <c r="AD391" s="16" t="e">
        <f t="shared" si="320"/>
        <v>#DIV/0!</v>
      </c>
      <c r="AE391" s="16"/>
      <c r="AF391" s="16"/>
      <c r="AG391" s="16"/>
      <c r="AH391" s="16" t="e">
        <f t="shared" si="321"/>
        <v>#DIV/0!</v>
      </c>
      <c r="AI391" s="16"/>
      <c r="AJ391" s="16"/>
      <c r="AK391" s="16"/>
      <c r="AL391" s="16"/>
      <c r="AZ391" s="2" t="e">
        <f t="shared" si="322"/>
        <v>#DIV/0!</v>
      </c>
    </row>
    <row r="392" spans="1:52" x14ac:dyDescent="0.2">
      <c r="A392" s="250"/>
      <c r="B392" s="14" t="s">
        <v>6</v>
      </c>
      <c r="C392" s="2">
        <f t="shared" si="311"/>
        <v>463645288.84740859</v>
      </c>
      <c r="D392" s="2">
        <f t="shared" si="312"/>
        <v>207577900.80819088</v>
      </c>
      <c r="E392" s="2" t="e">
        <f t="shared" si="313"/>
        <v>#DIV/0!</v>
      </c>
      <c r="F392" s="4" t="e">
        <f t="shared" si="314"/>
        <v>#DIV/0!</v>
      </c>
      <c r="G392" s="1" t="e">
        <f t="shared" si="323"/>
        <v>#DIV/0!</v>
      </c>
      <c r="H392" s="1" t="e">
        <f t="shared" si="324"/>
        <v>#DIV/0!</v>
      </c>
      <c r="I392" s="29">
        <f t="shared" si="325"/>
        <v>0.03</v>
      </c>
      <c r="J392" s="2" t="e">
        <f t="shared" si="326"/>
        <v>#DIV/0!</v>
      </c>
      <c r="K392" s="2"/>
      <c r="L392" s="2"/>
      <c r="M392" s="2"/>
      <c r="N392" s="2"/>
      <c r="O392" s="16" t="e">
        <f t="shared" si="315"/>
        <v>#DIV/0!</v>
      </c>
      <c r="P392" s="16" t="e">
        <f t="shared" si="316"/>
        <v>#DIV/0!</v>
      </c>
      <c r="Q392" s="2" t="e">
        <f t="shared" si="327"/>
        <v>#DIV/0!</v>
      </c>
      <c r="R392" s="2"/>
      <c r="S392" s="16" t="e">
        <f t="shared" si="317"/>
        <v>#DIV/0!</v>
      </c>
      <c r="T392" s="16"/>
      <c r="U392" s="2" t="e">
        <f t="shared" si="318"/>
        <v>#DIV/0!</v>
      </c>
      <c r="V392" s="2"/>
      <c r="W392" s="2"/>
      <c r="X392" s="2"/>
      <c r="Y392" s="2"/>
      <c r="Z392" s="2"/>
      <c r="AA392" s="2"/>
      <c r="AB392" s="2" t="e">
        <f t="shared" si="319"/>
        <v>#DIV/0!</v>
      </c>
      <c r="AC392" s="2"/>
      <c r="AD392" s="16" t="e">
        <f t="shared" si="320"/>
        <v>#DIV/0!</v>
      </c>
      <c r="AE392" s="16"/>
      <c r="AF392" s="16"/>
      <c r="AG392" s="16"/>
      <c r="AH392" s="16" t="e">
        <f t="shared" si="321"/>
        <v>#DIV/0!</v>
      </c>
      <c r="AI392" s="16"/>
      <c r="AJ392" s="16"/>
      <c r="AK392" s="16"/>
      <c r="AL392" s="16"/>
      <c r="AZ392" s="2" t="e">
        <f t="shared" si="322"/>
        <v>#DIV/0!</v>
      </c>
    </row>
    <row r="393" spans="1:52" x14ac:dyDescent="0.2">
      <c r="A393" s="250"/>
      <c r="B393" s="14" t="s">
        <v>7</v>
      </c>
      <c r="C393" s="2">
        <f t="shared" si="311"/>
        <v>514652135.74624115</v>
      </c>
      <c r="D393" s="2">
        <f t="shared" si="312"/>
        <v>213489475.01999903</v>
      </c>
      <c r="E393" s="2" t="e">
        <f t="shared" si="313"/>
        <v>#DIV/0!</v>
      </c>
      <c r="F393" s="4" t="e">
        <f t="shared" si="314"/>
        <v>#DIV/0!</v>
      </c>
      <c r="G393" s="1" t="e">
        <f t="shared" si="323"/>
        <v>#DIV/0!</v>
      </c>
      <c r="H393" s="1" t="e">
        <f t="shared" si="324"/>
        <v>#DIV/0!</v>
      </c>
      <c r="I393" s="29">
        <f t="shared" si="325"/>
        <v>0.03</v>
      </c>
      <c r="J393" s="2" t="e">
        <f t="shared" si="326"/>
        <v>#DIV/0!</v>
      </c>
      <c r="K393" s="2"/>
      <c r="L393" s="2"/>
      <c r="M393" s="2"/>
      <c r="N393" s="2"/>
      <c r="O393" s="16" t="e">
        <f t="shared" si="315"/>
        <v>#DIV/0!</v>
      </c>
      <c r="P393" s="16" t="e">
        <f t="shared" si="316"/>
        <v>#DIV/0!</v>
      </c>
      <c r="Q393" s="2" t="e">
        <f t="shared" si="327"/>
        <v>#DIV/0!</v>
      </c>
      <c r="R393" s="2"/>
      <c r="S393" s="16" t="e">
        <f t="shared" si="317"/>
        <v>#DIV/0!</v>
      </c>
      <c r="T393" s="16"/>
      <c r="U393" s="2" t="e">
        <f t="shared" si="318"/>
        <v>#DIV/0!</v>
      </c>
      <c r="V393" s="2"/>
      <c r="W393" s="2"/>
      <c r="X393" s="2"/>
      <c r="Y393" s="2"/>
      <c r="Z393" s="2"/>
      <c r="AA393" s="2"/>
      <c r="AB393" s="2" t="e">
        <f t="shared" si="319"/>
        <v>#DIV/0!</v>
      </c>
      <c r="AC393" s="2"/>
      <c r="AD393" s="16" t="e">
        <f t="shared" si="320"/>
        <v>#DIV/0!</v>
      </c>
      <c r="AE393" s="16"/>
      <c r="AF393" s="16"/>
      <c r="AG393" s="16"/>
      <c r="AH393" s="16" t="e">
        <f t="shared" si="321"/>
        <v>#DIV/0!</v>
      </c>
      <c r="AI393" s="16"/>
      <c r="AJ393" s="16"/>
      <c r="AK393" s="16"/>
      <c r="AL393" s="16"/>
      <c r="AZ393" s="2" t="e">
        <f t="shared" si="322"/>
        <v>#DIV/0!</v>
      </c>
    </row>
    <row r="394" spans="1:52" x14ac:dyDescent="0.2">
      <c r="A394" s="250"/>
      <c r="B394" s="14" t="s">
        <v>8</v>
      </c>
      <c r="C394" s="2">
        <f t="shared" si="311"/>
        <v>1450343952.3478048</v>
      </c>
      <c r="D394" s="2">
        <f t="shared" si="312"/>
        <v>499949030.52756685</v>
      </c>
      <c r="E394" s="2" t="e">
        <f t="shared" si="313"/>
        <v>#DIV/0!</v>
      </c>
      <c r="F394" s="4" t="e">
        <f t="shared" si="314"/>
        <v>#DIV/0!</v>
      </c>
      <c r="G394" s="1" t="e">
        <f t="shared" si="323"/>
        <v>#DIV/0!</v>
      </c>
      <c r="H394" s="1" t="e">
        <f t="shared" si="324"/>
        <v>#DIV/0!</v>
      </c>
      <c r="I394" s="29">
        <f t="shared" si="325"/>
        <v>0.03</v>
      </c>
      <c r="J394" s="2" t="e">
        <f t="shared" si="326"/>
        <v>#DIV/0!</v>
      </c>
      <c r="K394" s="2"/>
      <c r="L394" s="2"/>
      <c r="M394" s="2"/>
      <c r="N394" s="2"/>
      <c r="O394" s="16" t="e">
        <f t="shared" si="315"/>
        <v>#DIV/0!</v>
      </c>
      <c r="P394" s="16" t="e">
        <f t="shared" si="316"/>
        <v>#DIV/0!</v>
      </c>
      <c r="Q394" s="2" t="e">
        <f t="shared" si="327"/>
        <v>#DIV/0!</v>
      </c>
      <c r="R394" s="2"/>
      <c r="S394" s="16" t="e">
        <f t="shared" si="317"/>
        <v>#DIV/0!</v>
      </c>
      <c r="T394" s="16"/>
      <c r="U394" s="2" t="e">
        <f t="shared" si="318"/>
        <v>#DIV/0!</v>
      </c>
      <c r="V394" s="2"/>
      <c r="W394" s="2"/>
      <c r="X394" s="2"/>
      <c r="Y394" s="2"/>
      <c r="Z394" s="2"/>
      <c r="AA394" s="2"/>
      <c r="AB394" s="2" t="e">
        <f t="shared" si="319"/>
        <v>#DIV/0!</v>
      </c>
      <c r="AC394" s="2"/>
      <c r="AD394" s="16" t="e">
        <f t="shared" si="320"/>
        <v>#DIV/0!</v>
      </c>
      <c r="AE394" s="16"/>
      <c r="AF394" s="16"/>
      <c r="AG394" s="16"/>
      <c r="AH394" s="16" t="e">
        <f t="shared" si="321"/>
        <v>#DIV/0!</v>
      </c>
      <c r="AI394" s="16"/>
      <c r="AJ394" s="16"/>
      <c r="AK394" s="16"/>
      <c r="AL394" s="16"/>
      <c r="AZ394" s="2" t="e">
        <f t="shared" si="322"/>
        <v>#DIV/0!</v>
      </c>
    </row>
    <row r="395" spans="1:52" x14ac:dyDescent="0.2">
      <c r="A395" s="250"/>
      <c r="B395" s="14" t="s">
        <v>9</v>
      </c>
      <c r="C395" s="2">
        <f t="shared" si="311"/>
        <v>146007784.4004783</v>
      </c>
      <c r="D395" s="2">
        <f t="shared" si="312"/>
        <v>62739293.573554859</v>
      </c>
      <c r="E395" s="2" t="e">
        <f t="shared" si="313"/>
        <v>#DIV/0!</v>
      </c>
      <c r="F395" s="4" t="e">
        <f t="shared" si="314"/>
        <v>#DIV/0!</v>
      </c>
      <c r="G395" s="1" t="e">
        <f t="shared" si="323"/>
        <v>#DIV/0!</v>
      </c>
      <c r="H395" s="1" t="e">
        <f t="shared" si="324"/>
        <v>#DIV/0!</v>
      </c>
      <c r="I395" s="29">
        <f t="shared" si="325"/>
        <v>0.03</v>
      </c>
      <c r="J395" s="2" t="e">
        <f t="shared" si="326"/>
        <v>#DIV/0!</v>
      </c>
      <c r="K395" s="2"/>
      <c r="L395" s="2"/>
      <c r="M395" s="2"/>
      <c r="N395" s="2"/>
      <c r="O395" s="16" t="e">
        <f t="shared" si="315"/>
        <v>#DIV/0!</v>
      </c>
      <c r="P395" s="16" t="e">
        <f t="shared" si="316"/>
        <v>#DIV/0!</v>
      </c>
      <c r="Q395" s="2" t="e">
        <f t="shared" si="327"/>
        <v>#DIV/0!</v>
      </c>
      <c r="R395" s="2"/>
      <c r="S395" s="16" t="e">
        <f t="shared" si="317"/>
        <v>#DIV/0!</v>
      </c>
      <c r="T395" s="16"/>
      <c r="U395" s="2" t="e">
        <f t="shared" si="318"/>
        <v>#DIV/0!</v>
      </c>
      <c r="V395" s="2"/>
      <c r="W395" s="2"/>
      <c r="X395" s="2"/>
      <c r="Y395" s="2"/>
      <c r="Z395" s="2"/>
      <c r="AA395" s="2"/>
      <c r="AB395" s="2" t="e">
        <f t="shared" si="319"/>
        <v>#DIV/0!</v>
      </c>
      <c r="AC395" s="2"/>
      <c r="AD395" s="16" t="e">
        <f t="shared" si="320"/>
        <v>#DIV/0!</v>
      </c>
      <c r="AE395" s="16"/>
      <c r="AF395" s="16"/>
      <c r="AG395" s="16"/>
      <c r="AH395" s="16" t="e">
        <f t="shared" si="321"/>
        <v>#DIV/0!</v>
      </c>
      <c r="AI395" s="16"/>
      <c r="AJ395" s="16"/>
      <c r="AK395" s="16"/>
      <c r="AL395" s="16"/>
      <c r="AZ395" s="2" t="e">
        <f t="shared" si="322"/>
        <v>#DIV/0!</v>
      </c>
    </row>
    <row r="396" spans="1:52" x14ac:dyDescent="0.2">
      <c r="A396" s="250"/>
      <c r="B396" s="14" t="s">
        <v>10</v>
      </c>
      <c r="C396" s="2">
        <f t="shared" si="311"/>
        <v>1945362610.7300065</v>
      </c>
      <c r="D396" s="2">
        <f t="shared" si="312"/>
        <v>1257307733.0284355</v>
      </c>
      <c r="E396" s="2" t="e">
        <f t="shared" si="313"/>
        <v>#DIV/0!</v>
      </c>
      <c r="F396" s="4" t="e">
        <f t="shared" si="314"/>
        <v>#DIV/0!</v>
      </c>
      <c r="G396" s="1" t="e">
        <f t="shared" si="323"/>
        <v>#DIV/0!</v>
      </c>
      <c r="H396" s="1" t="e">
        <f t="shared" si="324"/>
        <v>#DIV/0!</v>
      </c>
      <c r="I396" s="29">
        <f t="shared" si="325"/>
        <v>0.03</v>
      </c>
      <c r="J396" s="2" t="e">
        <f t="shared" si="326"/>
        <v>#DIV/0!</v>
      </c>
      <c r="K396" s="2"/>
      <c r="L396" s="2"/>
      <c r="M396" s="2"/>
      <c r="N396" s="2"/>
      <c r="O396" s="16" t="e">
        <f t="shared" si="315"/>
        <v>#DIV/0!</v>
      </c>
      <c r="P396" s="16" t="e">
        <f t="shared" si="316"/>
        <v>#DIV/0!</v>
      </c>
      <c r="Q396" s="2" t="e">
        <f t="shared" si="327"/>
        <v>#DIV/0!</v>
      </c>
      <c r="R396" s="2"/>
      <c r="S396" s="16" t="e">
        <f t="shared" si="317"/>
        <v>#DIV/0!</v>
      </c>
      <c r="T396" s="16"/>
      <c r="U396" s="2" t="e">
        <f t="shared" si="318"/>
        <v>#DIV/0!</v>
      </c>
      <c r="V396" s="2"/>
      <c r="W396" s="2"/>
      <c r="X396" s="2"/>
      <c r="Y396" s="2"/>
      <c r="Z396" s="2"/>
      <c r="AA396" s="2"/>
      <c r="AB396" s="2" t="e">
        <f t="shared" si="319"/>
        <v>#DIV/0!</v>
      </c>
      <c r="AC396" s="2"/>
      <c r="AD396" s="16" t="e">
        <f t="shared" si="320"/>
        <v>#DIV/0!</v>
      </c>
      <c r="AE396" s="16"/>
      <c r="AF396" s="16"/>
      <c r="AG396" s="16"/>
      <c r="AH396" s="16" t="e">
        <f t="shared" si="321"/>
        <v>#DIV/0!</v>
      </c>
      <c r="AI396" s="16"/>
      <c r="AJ396" s="16"/>
      <c r="AK396" s="16"/>
      <c r="AL396" s="16"/>
      <c r="AZ396" s="2" t="e">
        <f t="shared" si="322"/>
        <v>#DIV/0!</v>
      </c>
    </row>
    <row r="397" spans="1:52" x14ac:dyDescent="0.2">
      <c r="A397" s="250"/>
      <c r="B397" s="14" t="s">
        <v>11</v>
      </c>
      <c r="C397" s="2">
        <f t="shared" si="311"/>
        <v>310120898.89237237</v>
      </c>
      <c r="D397" s="2">
        <f t="shared" si="312"/>
        <v>109212595.84268601</v>
      </c>
      <c r="E397" s="2" t="e">
        <f t="shared" si="313"/>
        <v>#DIV/0!</v>
      </c>
      <c r="F397" s="4" t="e">
        <f t="shared" si="314"/>
        <v>#DIV/0!</v>
      </c>
      <c r="G397" s="1" t="e">
        <f t="shared" si="323"/>
        <v>#DIV/0!</v>
      </c>
      <c r="H397" s="1" t="e">
        <f t="shared" si="324"/>
        <v>#DIV/0!</v>
      </c>
      <c r="I397" s="29">
        <f t="shared" si="325"/>
        <v>0.03</v>
      </c>
      <c r="J397" s="2" t="e">
        <f t="shared" si="326"/>
        <v>#DIV/0!</v>
      </c>
      <c r="K397" s="2"/>
      <c r="L397" s="2"/>
      <c r="M397" s="2"/>
      <c r="N397" s="2"/>
      <c r="O397" s="16" t="e">
        <f t="shared" si="315"/>
        <v>#DIV/0!</v>
      </c>
      <c r="P397" s="16" t="e">
        <f t="shared" si="316"/>
        <v>#DIV/0!</v>
      </c>
      <c r="Q397" s="2" t="e">
        <f t="shared" si="327"/>
        <v>#DIV/0!</v>
      </c>
      <c r="R397" s="2"/>
      <c r="S397" s="16" t="e">
        <f t="shared" si="317"/>
        <v>#DIV/0!</v>
      </c>
      <c r="T397" s="16"/>
      <c r="U397" s="2" t="e">
        <f t="shared" si="318"/>
        <v>#DIV/0!</v>
      </c>
      <c r="V397" s="2"/>
      <c r="W397" s="2"/>
      <c r="X397" s="2"/>
      <c r="Y397" s="2"/>
      <c r="Z397" s="2"/>
      <c r="AA397" s="2"/>
      <c r="AB397" s="2" t="e">
        <f t="shared" si="319"/>
        <v>#DIV/0!</v>
      </c>
      <c r="AC397" s="2"/>
      <c r="AD397" s="16" t="e">
        <f t="shared" si="320"/>
        <v>#DIV/0!</v>
      </c>
      <c r="AE397" s="16"/>
      <c r="AF397" s="16"/>
      <c r="AG397" s="16"/>
      <c r="AH397" s="16" t="e">
        <f t="shared" si="321"/>
        <v>#DIV/0!</v>
      </c>
      <c r="AI397" s="16"/>
      <c r="AJ397" s="16"/>
      <c r="AK397" s="16"/>
      <c r="AL397" s="16"/>
      <c r="AZ397" s="2" t="e">
        <f t="shared" si="322"/>
        <v>#DIV/0!</v>
      </c>
    </row>
    <row r="398" spans="1:52" x14ac:dyDescent="0.2">
      <c r="A398" s="250"/>
      <c r="B398" s="15" t="s">
        <v>14</v>
      </c>
      <c r="C398" s="30">
        <f>SUM(C386:C397)</f>
        <v>7046336215.0893421</v>
      </c>
      <c r="D398" s="30">
        <f>SUM(D386:D397)</f>
        <v>3042765703.6723027</v>
      </c>
      <c r="E398" s="30" t="e">
        <f>SUM(E386:E397)</f>
        <v>#DIV/0!</v>
      </c>
      <c r="F398" s="30" t="e">
        <f>SUM(F386:F397)</f>
        <v>#DIV/0!</v>
      </c>
      <c r="G398" s="1" t="e">
        <f>1-H398</f>
        <v>#DIV/0!</v>
      </c>
      <c r="H398" s="11" t="e">
        <f t="shared" si="324"/>
        <v>#DIV/0!</v>
      </c>
      <c r="J398" s="30" t="e">
        <f>SUM(J386:J397)</f>
        <v>#DIV/0!</v>
      </c>
      <c r="K398" s="30"/>
      <c r="L398" s="30"/>
      <c r="M398" s="30"/>
      <c r="N398" s="30"/>
      <c r="O398" s="16"/>
      <c r="P398" s="16"/>
      <c r="Q398" s="30" t="e">
        <f>SUM(Q386:Q397)</f>
        <v>#DIV/0!</v>
      </c>
      <c r="R398" s="30"/>
      <c r="S398" s="30"/>
      <c r="T398" s="30"/>
      <c r="U398" s="30" t="e">
        <f>SUM(U386:U397)</f>
        <v>#DIV/0!</v>
      </c>
      <c r="V398" s="30"/>
      <c r="W398" s="30"/>
      <c r="X398" s="30"/>
      <c r="Y398" s="30"/>
      <c r="Z398" s="30"/>
      <c r="AA398" s="30"/>
      <c r="AB398" s="30" t="e">
        <f>SUM(AB386:AB397)</f>
        <v>#DIV/0!</v>
      </c>
      <c r="AC398" s="30"/>
      <c r="AD398" s="16" t="e">
        <f t="shared" si="320"/>
        <v>#DIV/0!</v>
      </c>
      <c r="AE398" s="16"/>
      <c r="AF398" s="16"/>
      <c r="AG398" s="16"/>
      <c r="AH398" s="16" t="e">
        <f t="shared" si="321"/>
        <v>#DIV/0!</v>
      </c>
      <c r="AI398" s="16"/>
      <c r="AJ398" s="16"/>
      <c r="AK398" s="16"/>
      <c r="AL398" s="16"/>
      <c r="AZ398" s="3" t="e">
        <f>SUM(AZ386:AZ397)</f>
        <v>#DIV/0!</v>
      </c>
    </row>
    <row r="399" spans="1:52" x14ac:dyDescent="0.2">
      <c r="C399" s="30"/>
      <c r="D399" s="30"/>
      <c r="E399" s="30"/>
      <c r="F399" s="30"/>
      <c r="G399" s="21" t="e">
        <f>SUM(G386:G397)</f>
        <v>#DIV/0!</v>
      </c>
      <c r="H399" s="21" t="e">
        <f>SUM(H386:H397)</f>
        <v>#DIV/0!</v>
      </c>
      <c r="I399" s="10" t="s">
        <v>30</v>
      </c>
      <c r="J399" s="17" t="e">
        <f>C381-SUM(J386:J397)</f>
        <v>#DIV/0!</v>
      </c>
      <c r="K399" s="17"/>
      <c r="L399" s="17"/>
      <c r="M399" s="17"/>
      <c r="N399" s="17"/>
    </row>
  </sheetData>
  <mergeCells count="69">
    <mergeCell ref="A359:A373"/>
    <mergeCell ref="I359:AD359"/>
    <mergeCell ref="A377:A383"/>
    <mergeCell ref="I383:AD383"/>
    <mergeCell ref="A384:A398"/>
    <mergeCell ref="I384:AD384"/>
    <mergeCell ref="A327:A333"/>
    <mergeCell ref="I333:AD333"/>
    <mergeCell ref="A334:A348"/>
    <mergeCell ref="I334:AD334"/>
    <mergeCell ref="A352:A358"/>
    <mergeCell ref="I358:AD358"/>
    <mergeCell ref="A302:A308"/>
    <mergeCell ref="I308:AD308"/>
    <mergeCell ref="A309:A323"/>
    <mergeCell ref="I309:AD309"/>
    <mergeCell ref="A259:A273"/>
    <mergeCell ref="I259:AD259"/>
    <mergeCell ref="A277:A283"/>
    <mergeCell ref="I283:AD283"/>
    <mergeCell ref="A284:A298"/>
    <mergeCell ref="I284:AD284"/>
    <mergeCell ref="A227:A233"/>
    <mergeCell ref="I233:AD233"/>
    <mergeCell ref="A234:A248"/>
    <mergeCell ref="I234:AD234"/>
    <mergeCell ref="A252:A258"/>
    <mergeCell ref="I258:AD258"/>
    <mergeCell ref="A184:A198"/>
    <mergeCell ref="I184:AD184"/>
    <mergeCell ref="A202:A208"/>
    <mergeCell ref="I208:AD208"/>
    <mergeCell ref="A209:A223"/>
    <mergeCell ref="I209:AD209"/>
    <mergeCell ref="A152:A158"/>
    <mergeCell ref="I158:AD158"/>
    <mergeCell ref="A159:A173"/>
    <mergeCell ref="I159:AD159"/>
    <mergeCell ref="A177:A183"/>
    <mergeCell ref="I183:AD183"/>
    <mergeCell ref="A109:A123"/>
    <mergeCell ref="I109:AD109"/>
    <mergeCell ref="A127:A133"/>
    <mergeCell ref="I133:AD133"/>
    <mergeCell ref="A134:A148"/>
    <mergeCell ref="I134:AD134"/>
    <mergeCell ref="A77:A83"/>
    <mergeCell ref="I83:AD83"/>
    <mergeCell ref="A84:A98"/>
    <mergeCell ref="I84:AD84"/>
    <mergeCell ref="A102:A108"/>
    <mergeCell ref="I108:AD108"/>
    <mergeCell ref="A34:A48"/>
    <mergeCell ref="I34:AD34"/>
    <mergeCell ref="A52:A58"/>
    <mergeCell ref="I58:AD58"/>
    <mergeCell ref="A59:A73"/>
    <mergeCell ref="I59:AD59"/>
    <mergeCell ref="A10:A24"/>
    <mergeCell ref="A27:A33"/>
    <mergeCell ref="I33:AD33"/>
    <mergeCell ref="I7:S7"/>
    <mergeCell ref="I8:S8"/>
    <mergeCell ref="AA8:AE9"/>
    <mergeCell ref="AF8:AJ9"/>
    <mergeCell ref="AK8:AN9"/>
    <mergeCell ref="AO8:AR9"/>
    <mergeCell ref="T8:Z9"/>
    <mergeCell ref="A2:A8"/>
  </mergeCells>
  <conditionalFormatting sqref="G11:G23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6:G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1:G73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6:G98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1:G123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36:G1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61:G173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86:G198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11:G223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36:G248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1:G273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86:G298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11:G323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36:G348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61:G37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86:G39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:H23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6:H48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1:H73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86:H98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1:H123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36:H148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61:H173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86:H198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11:H223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36:H248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61:H273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86:H298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11:H323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36:H3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61:H373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86:H39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:BP2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43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31:BU4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43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43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I43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J43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K43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L43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3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N43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O43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43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43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43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S43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T43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4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55463-7EF7-1A45-9EFC-3C489F9788E7}">
  <dimension ref="B3:W17"/>
  <sheetViews>
    <sheetView showGridLines="0" workbookViewId="0">
      <selection activeCell="U34" sqref="U34"/>
    </sheetView>
  </sheetViews>
  <sheetFormatPr baseColWidth="10" defaultRowHeight="15" x14ac:dyDescent="0.2"/>
  <cols>
    <col min="2" max="2" width="34.33203125" bestFit="1" customWidth="1"/>
    <col min="3" max="3" width="10.5" customWidth="1"/>
    <col min="4" max="4" width="12" customWidth="1"/>
    <col min="5" max="6" width="10.83203125" style="7" customWidth="1"/>
    <col min="7" max="7" width="11.83203125" customWidth="1"/>
    <col min="8" max="8" width="13.5" style="2" customWidth="1"/>
    <col min="9" max="9" width="11" style="7" customWidth="1"/>
    <col min="10" max="10" width="12.83203125" customWidth="1"/>
    <col min="11" max="11" width="12.6640625" customWidth="1"/>
    <col min="16" max="16" width="33.6640625" customWidth="1"/>
    <col min="17" max="18" width="10" customWidth="1"/>
  </cols>
  <sheetData>
    <row r="3" spans="2:23" x14ac:dyDescent="0.2">
      <c r="Q3" s="256" t="s">
        <v>156</v>
      </c>
      <c r="R3" s="256"/>
      <c r="S3" s="256"/>
      <c r="T3" s="256" t="s">
        <v>169</v>
      </c>
      <c r="U3" s="256"/>
      <c r="V3" s="256"/>
    </row>
    <row r="4" spans="2:23" ht="49" thickBot="1" x14ac:dyDescent="0.25">
      <c r="B4" s="136" t="s">
        <v>12</v>
      </c>
      <c r="C4" s="28" t="s">
        <v>133</v>
      </c>
      <c r="D4" s="119" t="s">
        <v>142</v>
      </c>
      <c r="E4" s="28" t="s">
        <v>151</v>
      </c>
      <c r="F4" s="28" t="s">
        <v>150</v>
      </c>
      <c r="G4" s="119" t="s">
        <v>137</v>
      </c>
      <c r="H4" s="149" t="s">
        <v>13</v>
      </c>
      <c r="I4" s="28" t="s">
        <v>152</v>
      </c>
      <c r="J4" s="119" t="s">
        <v>143</v>
      </c>
      <c r="K4" s="140" t="s">
        <v>153</v>
      </c>
      <c r="P4" s="136" t="s">
        <v>12</v>
      </c>
      <c r="Q4" s="28" t="s">
        <v>166</v>
      </c>
      <c r="R4" s="28" t="s">
        <v>167</v>
      </c>
      <c r="S4" s="158" t="s">
        <v>149</v>
      </c>
      <c r="T4" s="28" t="s">
        <v>166</v>
      </c>
      <c r="U4" s="28" t="s">
        <v>167</v>
      </c>
      <c r="V4" s="158" t="s">
        <v>149</v>
      </c>
      <c r="W4" s="163" t="s">
        <v>168</v>
      </c>
    </row>
    <row r="5" spans="2:23" ht="16" thickTop="1" x14ac:dyDescent="0.2">
      <c r="B5" s="14" t="s">
        <v>0</v>
      </c>
      <c r="C5" s="137">
        <f>'Model -Guard + Adeq $ and %'!I11</f>
        <v>0.03</v>
      </c>
      <c r="D5" s="139">
        <f>'Model -Guard + Adeq $ and %'!J11</f>
        <v>1184797</v>
      </c>
      <c r="E5" s="144">
        <f>'Model -Guard + Adeq $ and %'!H11</f>
        <v>0.33730453415034878</v>
      </c>
      <c r="F5" s="146">
        <f>'Model -Guard + Adeq $ and %'!K11</f>
        <v>7.4708035742768714E-2</v>
      </c>
      <c r="G5" s="139">
        <f>'Model -Guard + Adeq $ and %'!M11</f>
        <v>3840069.2767287875</v>
      </c>
      <c r="H5" s="150">
        <f>'Model -Guard + Adeq $ and %'!F11</f>
        <v>26632273.511223372</v>
      </c>
      <c r="I5" s="146">
        <f>'Model -Guard + Adeq $ and %'!N11</f>
        <v>1.865665362136866E-2</v>
      </c>
      <c r="J5" s="139">
        <f>'Model -Guard + Adeq $ and %'!O11</f>
        <v>958971.03525336972</v>
      </c>
      <c r="K5" s="141">
        <f>'Model -Guard + Adeq $ and %'!P11</f>
        <v>5983837.3119821567</v>
      </c>
      <c r="P5" s="14" t="s">
        <v>0</v>
      </c>
      <c r="Q5" s="159">
        <v>-2.5981454011045645E-2</v>
      </c>
      <c r="R5" s="159">
        <v>4.4915570452426397E-2</v>
      </c>
      <c r="S5" s="160">
        <v>-433.74311353987389</v>
      </c>
      <c r="T5" s="159">
        <v>-2.8972181016568465E-2</v>
      </c>
      <c r="U5" s="159">
        <v>5.0085804938280264E-2</v>
      </c>
      <c r="V5" s="160">
        <v>-483.67131396205821</v>
      </c>
      <c r="W5" s="164">
        <v>-333.8867126955052</v>
      </c>
    </row>
    <row r="6" spans="2:23" x14ac:dyDescent="0.2">
      <c r="B6" s="14" t="s">
        <v>1</v>
      </c>
      <c r="C6" s="137">
        <f>'Model -Guard + Adeq $ and %'!I12</f>
        <v>0.03</v>
      </c>
      <c r="D6" s="139">
        <f>'Model -Guard + Adeq $ and %'!J12</f>
        <v>1289374.9999999998</v>
      </c>
      <c r="E6" s="144">
        <f>'Model -Guard + Adeq $ and %'!H12</f>
        <v>0.40625719918484365</v>
      </c>
      <c r="F6" s="146">
        <f>'Model -Guard + Adeq $ and %'!K12</f>
        <v>8.9980045580798557E-2</v>
      </c>
      <c r="G6" s="139">
        <f>'Model -Guard + Adeq $ and %'!M12</f>
        <v>4625066.1674895613</v>
      </c>
      <c r="H6" s="150">
        <f>'Model -Guard + Adeq $ and %'!F12</f>
        <v>68390366.678204596</v>
      </c>
      <c r="I6" s="146">
        <f>'Model -Guard + Adeq $ and %'!N12</f>
        <v>4.7909367618050022E-2</v>
      </c>
      <c r="J6" s="139">
        <f>'Model -Guard + Adeq $ and %'!O12</f>
        <v>2462590.3870774251</v>
      </c>
      <c r="K6" s="141">
        <f>'Model -Guard + Adeq $ and %'!P12</f>
        <v>8377031.5545669869</v>
      </c>
      <c r="P6" s="14" t="s">
        <v>1</v>
      </c>
      <c r="Q6" s="159">
        <v>-2.6887937331893885E-2</v>
      </c>
      <c r="R6" s="159">
        <v>5.0585524168694294E-2</v>
      </c>
      <c r="S6" s="160">
        <v>-182.29379638926633</v>
      </c>
      <c r="T6" s="159">
        <v>-3.033190599784083E-2</v>
      </c>
      <c r="U6" s="159">
        <v>5.7064822228528544E-2</v>
      </c>
      <c r="V6" s="160">
        <v>-205.64308179601437</v>
      </c>
      <c r="W6" s="164">
        <v>-135.59522557577029</v>
      </c>
    </row>
    <row r="7" spans="2:23" x14ac:dyDescent="0.2">
      <c r="B7" s="14" t="s">
        <v>2</v>
      </c>
      <c r="C7" s="137">
        <f>'Model -Guard + Adeq $ and %'!I13</f>
        <v>0.03</v>
      </c>
      <c r="D7" s="139">
        <f>'Model -Guard + Adeq $ and %'!J13</f>
        <v>719001.99999999988</v>
      </c>
      <c r="E7" s="144">
        <f>'Model -Guard + Adeq $ and %'!H13</f>
        <v>0.56529432312085603</v>
      </c>
      <c r="F7" s="146">
        <f>'Model -Guard + Adeq $ and %'!K13</f>
        <v>0.12520444945478504</v>
      </c>
      <c r="G7" s="139">
        <f>'Model -Guard + Adeq $ and %'!M13</f>
        <v>6435636.4731166195</v>
      </c>
      <c r="H7" s="150">
        <f>'Model -Guard + Adeq $ and %'!F13</f>
        <v>65661615.177443981</v>
      </c>
      <c r="I7" s="146">
        <f>'Model -Guard + Adeq $ and %'!N13</f>
        <v>4.5997800753620421E-2</v>
      </c>
      <c r="J7" s="139">
        <f>'Model -Guard + Adeq $ and %'!O13</f>
        <v>2364333.8994917586</v>
      </c>
      <c r="K7" s="141">
        <f>'Model -Guard + Adeq $ and %'!P13</f>
        <v>9518972.3726083785</v>
      </c>
      <c r="P7" s="14" t="s">
        <v>2</v>
      </c>
      <c r="Q7" s="159">
        <v>-3.501983032577434E-2</v>
      </c>
      <c r="R7" s="159">
        <v>3.6739535225607634E-2</v>
      </c>
      <c r="S7" s="160">
        <v>-189.96098109311509</v>
      </c>
      <c r="T7" s="159">
        <v>-4.2529745488661508E-2</v>
      </c>
      <c r="U7" s="159">
        <v>4.4618236809868296E-2</v>
      </c>
      <c r="V7" s="160">
        <v>-230.6976391236409</v>
      </c>
      <c r="W7" s="164">
        <v>-108.48766503206338</v>
      </c>
    </row>
    <row r="8" spans="2:23" x14ac:dyDescent="0.2">
      <c r="B8" s="14" t="s">
        <v>3</v>
      </c>
      <c r="C8" s="137">
        <f>'Model -Guard + Adeq $ and %'!I14</f>
        <v>0.03</v>
      </c>
      <c r="D8" s="139">
        <f>'Model -Guard + Adeq $ and %'!J14</f>
        <v>2158999</v>
      </c>
      <c r="E8" s="144">
        <f>'Model -Guard + Adeq $ and %'!H14</f>
        <v>0.45431180000906651</v>
      </c>
      <c r="F8" s="146">
        <f>'Model -Guard + Adeq $ and %'!K14</f>
        <v>0.10062343893162823</v>
      </c>
      <c r="G8" s="139">
        <f>'Model -Guard + Adeq $ and %'!M14</f>
        <v>5172147.4473051205</v>
      </c>
      <c r="H8" s="150">
        <f>'Model -Guard + Adeq $ and %'!F14</f>
        <v>217456110.75596377</v>
      </c>
      <c r="I8" s="146">
        <f>'Model -Guard + Adeq $ and %'!N14</f>
        <v>0.15233409699379566</v>
      </c>
      <c r="J8" s="139">
        <f>'Model -Guard + Adeq $ and %'!O14</f>
        <v>7830128.0424270788</v>
      </c>
      <c r="K8" s="141">
        <f>'Model -Guard + Adeq $ and %'!P14</f>
        <v>15161274.489732198</v>
      </c>
      <c r="P8" s="14" t="s">
        <v>3</v>
      </c>
      <c r="Q8" s="159">
        <v>-2.8933973477547597E-2</v>
      </c>
      <c r="R8" s="159">
        <v>9.1148608329748693E-2</v>
      </c>
      <c r="S8" s="160">
        <v>-101.94598179393526</v>
      </c>
      <c r="T8" s="159">
        <v>-3.3400960216321399E-2</v>
      </c>
      <c r="U8" s="159">
        <v>0.10522063424705402</v>
      </c>
      <c r="V8" s="160">
        <v>-117.68496590194802</v>
      </c>
      <c r="W8" s="164">
        <v>-70.468013577909772</v>
      </c>
    </row>
    <row r="9" spans="2:23" x14ac:dyDescent="0.2">
      <c r="B9" s="14" t="s">
        <v>4</v>
      </c>
      <c r="C9" s="137">
        <f>'Model -Guard + Adeq $ and %'!I15</f>
        <v>0.03</v>
      </c>
      <c r="D9" s="139">
        <f>'Model -Guard + Adeq $ and %'!J15</f>
        <v>1102575</v>
      </c>
      <c r="E9" s="144">
        <f>'Model -Guard + Adeq $ and %'!H15</f>
        <v>0.61785650633229827</v>
      </c>
      <c r="F9" s="146">
        <f>'Model -Guard + Adeq $ and %'!K15</f>
        <v>0.13684620657485996</v>
      </c>
      <c r="G9" s="139">
        <f>'Model -Guard + Adeq $ and %'!M15</f>
        <v>7034034.669501612</v>
      </c>
      <c r="H9" s="150">
        <f>'Model -Guard + Adeq $ and %'!F15</f>
        <v>106458734.71450725</v>
      </c>
      <c r="I9" s="146">
        <f>'Model -Guard + Adeq $ and %'!N15</f>
        <v>7.457732580362425E-2</v>
      </c>
      <c r="J9" s="139">
        <f>'Model -Guard + Adeq $ and %'!O15</f>
        <v>3833350.652467269</v>
      </c>
      <c r="K9" s="141">
        <f>'Model -Guard + Adeq $ and %'!P15</f>
        <v>11969960.321968881</v>
      </c>
      <c r="P9" s="14" t="s">
        <v>4</v>
      </c>
      <c r="Q9" s="159">
        <v>-2.9400561296934781E-2</v>
      </c>
      <c r="R9" s="159">
        <v>4.7299144389508573E-2</v>
      </c>
      <c r="S9" s="160">
        <v>-180.60239496332869</v>
      </c>
      <c r="T9" s="159">
        <v>-3.4100841945402173E-2</v>
      </c>
      <c r="U9" s="159">
        <v>5.4860879378773909E-2</v>
      </c>
      <c r="V9" s="160">
        <v>-209.47537917405873</v>
      </c>
      <c r="W9" s="164">
        <v>-122.85642654186863</v>
      </c>
    </row>
    <row r="10" spans="2:23" x14ac:dyDescent="0.2">
      <c r="B10" s="14" t="s">
        <v>5</v>
      </c>
      <c r="C10" s="137">
        <f>'Model -Guard + Adeq $ and %'!I16</f>
        <v>0.03</v>
      </c>
      <c r="D10" s="139">
        <f>'Model -Guard + Adeq $ and %'!J16</f>
        <v>2722736</v>
      </c>
      <c r="E10" s="144">
        <f>'Model -Guard + Adeq $ and %'!H16</f>
        <v>0.45945381240166444</v>
      </c>
      <c r="F10" s="146">
        <f>'Model -Guard + Adeq $ and %'!K16</f>
        <v>0.10176231969581249</v>
      </c>
      <c r="G10" s="139">
        <f>'Model -Guard + Adeq $ and %'!M16</f>
        <v>5230687.0808120118</v>
      </c>
      <c r="H10" s="150">
        <f>'Model -Guard + Adeq $ and %'!F16</f>
        <v>187498717.22354543</v>
      </c>
      <c r="I10" s="146">
        <f>'Model -Guard + Adeq $ and %'!N16</f>
        <v>0.13134810365387953</v>
      </c>
      <c r="J10" s="139">
        <f>'Model -Guard + Adeq $ and %'!O16</f>
        <v>6751426.5685491869</v>
      </c>
      <c r="K10" s="141">
        <f>'Model -Guard + Adeq $ and %'!P16</f>
        <v>14704849.649361199</v>
      </c>
      <c r="P10" s="14" t="s">
        <v>5</v>
      </c>
      <c r="Q10" s="159">
        <v>-2.3114627963610662E-2</v>
      </c>
      <c r="R10" s="159">
        <v>9.1829445803215295E-2</v>
      </c>
      <c r="S10" s="160">
        <v>-132.30539371663608</v>
      </c>
      <c r="T10" s="159">
        <v>-2.4671941945415995E-2</v>
      </c>
      <c r="U10" s="159">
        <v>9.8016319332649482E-2</v>
      </c>
      <c r="V10" s="160">
        <v>-141.21927456419056</v>
      </c>
      <c r="W10" s="164">
        <v>-114.47763202152709</v>
      </c>
    </row>
    <row r="11" spans="2:23" x14ac:dyDescent="0.2">
      <c r="B11" s="14" t="s">
        <v>6</v>
      </c>
      <c r="C11" s="137">
        <f>'Model -Guard + Adeq $ and %'!I17</f>
        <v>0.03</v>
      </c>
      <c r="D11" s="139">
        <f>'Model -Guard + Adeq $ and %'!J17</f>
        <v>4069800.4418793526</v>
      </c>
      <c r="E11" s="144">
        <f>'Model -Guard + Adeq $ and %'!H17</f>
        <v>9.6439037408370981E-2</v>
      </c>
      <c r="F11" s="146">
        <f>'Model -Guard + Adeq $ and %'!K17</f>
        <v>2.135984051282086E-2</v>
      </c>
      <c r="G11" s="139">
        <f>'Model -Guard + Adeq $ and %'!M17</f>
        <v>1097917.6000762356</v>
      </c>
      <c r="H11" s="150">
        <f>'Model -Guard + Adeq $ and %'!F17</f>
        <v>28699897.622331485</v>
      </c>
      <c r="I11" s="146">
        <f>'Model -Guard + Adeq $ and %'!N17</f>
        <v>2.010508222975908E-2</v>
      </c>
      <c r="J11" s="139">
        <f>'Model -Guard + Adeq $ and %'!O17</f>
        <v>1033421.7438460322</v>
      </c>
      <c r="K11" s="141">
        <f>'Model -Guard + Adeq $ and %'!P17</f>
        <v>6201139.7858016202</v>
      </c>
      <c r="P11" s="14" t="s">
        <v>6</v>
      </c>
      <c r="Q11" s="159">
        <v>-1.5902152705651817E-2</v>
      </c>
      <c r="R11" s="159">
        <v>9.4431862653818394E-2</v>
      </c>
      <c r="S11" s="160">
        <v>-194.33260699725164</v>
      </c>
      <c r="T11" s="159">
        <v>-1.3853229058477731E-2</v>
      </c>
      <c r="U11" s="159">
        <v>8.2264725284464768E-2</v>
      </c>
      <c r="V11" s="160">
        <v>-169.29369048929095</v>
      </c>
      <c r="W11" s="164">
        <v>-244.41044001317314</v>
      </c>
    </row>
    <row r="12" spans="2:23" x14ac:dyDescent="0.2">
      <c r="B12" s="14" t="s">
        <v>7</v>
      </c>
      <c r="C12" s="137">
        <f>'Model -Guard + Adeq $ and %'!I18</f>
        <v>0.03</v>
      </c>
      <c r="D12" s="139">
        <f>'Model -Guard + Adeq $ and %'!J18</f>
        <v>1906315.5581206467</v>
      </c>
      <c r="E12" s="144">
        <f>'Model -Guard + Adeq $ and %'!H18</f>
        <v>0.3928156435014199</v>
      </c>
      <c r="F12" s="146">
        <f>'Model -Guard + Adeq $ and %'!K18</f>
        <v>8.7002937001558311E-2</v>
      </c>
      <c r="G12" s="139">
        <f>'Model -Guard + Adeq $ and %'!M18</f>
        <v>4472039.7483773073</v>
      </c>
      <c r="H12" s="150">
        <f>'Model -Guard + Adeq $ and %'!F18</f>
        <v>129760999.95956784</v>
      </c>
      <c r="I12" s="146">
        <f>'Model -Guard + Adeq $ and %'!N18</f>
        <v>9.0901215353915307E-2</v>
      </c>
      <c r="J12" s="139">
        <f>'Model -Guard + Adeq $ and %'!O18</f>
        <v>4672415.2338815155</v>
      </c>
      <c r="K12" s="141">
        <f>'Model -Guard + Adeq $ and %'!P18</f>
        <v>11050770.540379468</v>
      </c>
      <c r="P12" s="14" t="s">
        <v>7</v>
      </c>
      <c r="Q12" s="159">
        <v>-2.5794225346965037E-2</v>
      </c>
      <c r="R12" s="159">
        <v>7.1747505122864319E-2</v>
      </c>
      <c r="S12" s="160">
        <v>-129.46796495152552</v>
      </c>
      <c r="T12" s="159">
        <v>-2.8691338020447561E-2</v>
      </c>
      <c r="U12" s="159">
        <v>7.9805921438385094E-2</v>
      </c>
      <c r="V12" s="160">
        <v>-144.00933136302692</v>
      </c>
      <c r="W12" s="164">
        <v>-100.38523212852273</v>
      </c>
    </row>
    <row r="13" spans="2:23" x14ac:dyDescent="0.2">
      <c r="B13" s="14" t="s">
        <v>8</v>
      </c>
      <c r="C13" s="137">
        <f>'Model -Guard + Adeq $ and %'!I19</f>
        <v>0.03</v>
      </c>
      <c r="D13" s="139">
        <f>'Model -Guard + Adeq $ and %'!J19</f>
        <v>7585211.954160626</v>
      </c>
      <c r="E13" s="144">
        <f>'Model -Guard + Adeq $ and %'!H19</f>
        <v>0.38368679270848405</v>
      </c>
      <c r="F13" s="146">
        <f>'Model -Guard + Adeq $ and %'!K19</f>
        <v>8.4981029667739127E-2</v>
      </c>
      <c r="G13" s="139">
        <f>'Model -Guard + Adeq $ and %'!M19</f>
        <v>4368111.6480625672</v>
      </c>
      <c r="H13" s="150">
        <f>'Model -Guard + Adeq $ and %'!F19</f>
        <v>357181936.84346825</v>
      </c>
      <c r="I13" s="146">
        <f>'Model -Guard + Adeq $ and %'!N19</f>
        <v>0.25021595218635378</v>
      </c>
      <c r="J13" s="139">
        <f>'Model -Guard + Adeq $ and %'!O19</f>
        <v>12861355.287757792</v>
      </c>
      <c r="K13" s="141">
        <f>'Model -Guard + Adeq $ and %'!P19</f>
        <v>24814678.889980987</v>
      </c>
      <c r="P13" s="14" t="s">
        <v>8</v>
      </c>
      <c r="Q13" s="159">
        <v>-1.7241055753510662E-2</v>
      </c>
      <c r="R13" s="159">
        <v>0.19081877304928058</v>
      </c>
      <c r="S13" s="160">
        <v>-131.99404732017089</v>
      </c>
      <c r="T13" s="159">
        <v>-1.5861583630265998E-2</v>
      </c>
      <c r="U13" s="159">
        <v>0.17555119420860349</v>
      </c>
      <c r="V13" s="160">
        <v>-121.43308682473619</v>
      </c>
      <c r="W13" s="164">
        <v>-153.11596831104032</v>
      </c>
    </row>
    <row r="14" spans="2:23" x14ac:dyDescent="0.2">
      <c r="B14" s="14" t="s">
        <v>9</v>
      </c>
      <c r="C14" s="137">
        <f>'Model -Guard + Adeq $ and %'!I20</f>
        <v>0.03</v>
      </c>
      <c r="D14" s="139">
        <f>'Model -Guard + Adeq $ and %'!J20</f>
        <v>748039.24815470073</v>
      </c>
      <c r="E14" s="144">
        <f>'Model -Guard + Adeq $ and %'!H20</f>
        <v>0.30423810513849575</v>
      </c>
      <c r="F14" s="146">
        <f>'Model -Guard + Adeq $ and %'!K20</f>
        <v>6.7384303890999031E-2</v>
      </c>
      <c r="G14" s="139">
        <f>'Model -Guard + Adeq $ and %'!M20</f>
        <v>3463621.9856794709</v>
      </c>
      <c r="H14" s="150">
        <f>'Model -Guard + Adeq $ and %'!F20</f>
        <v>28512234.073798113</v>
      </c>
      <c r="I14" s="146">
        <f>'Model -Guard + Adeq $ and %'!N20</f>
        <v>1.9973618657155391E-2</v>
      </c>
      <c r="J14" s="139">
        <f>'Model -Guard + Adeq $ and %'!O20</f>
        <v>1026664.3820556267</v>
      </c>
      <c r="K14" s="141">
        <f>'Model -Guard + Adeq $ and %'!P20</f>
        <v>5238325.6158897988</v>
      </c>
      <c r="P14" s="14" t="s">
        <v>9</v>
      </c>
      <c r="Q14" s="159">
        <v>-3.57263369707106E-2</v>
      </c>
      <c r="R14" s="159">
        <v>3.8994413905009698E-2</v>
      </c>
      <c r="S14" s="160">
        <v>-226.28875738265745</v>
      </c>
      <c r="T14" s="159">
        <v>-4.3589505456065894E-2</v>
      </c>
      <c r="U14" s="159">
        <v>4.7576867985710654E-2</v>
      </c>
      <c r="V14" s="160">
        <v>-276.09365697536629</v>
      </c>
      <c r="W14" s="164">
        <v>-126.67895819723977</v>
      </c>
    </row>
    <row r="15" spans="2:23" x14ac:dyDescent="0.2">
      <c r="B15" s="14" t="s">
        <v>10</v>
      </c>
      <c r="C15" s="137">
        <f>'Model -Guard + Adeq $ and %'!I21</f>
        <v>0.03</v>
      </c>
      <c r="D15" s="139">
        <f>'Model -Guard + Adeq $ and %'!J21</f>
        <v>9242967.7976846732</v>
      </c>
      <c r="E15" s="144">
        <f>'Model -Guard + Adeq $ and %'!H21</f>
        <v>0.10694499207394834</v>
      </c>
      <c r="F15" s="146">
        <f>'Model -Guard + Adeq $ and %'!K21</f>
        <v>2.3686756273514468E-2</v>
      </c>
      <c r="G15" s="139">
        <f>'Model -Guard + Adeq $ and %'!M21</f>
        <v>1217523.4447934208</v>
      </c>
      <c r="H15" s="150">
        <f>'Model -Guard + Adeq $ and %'!F21</f>
        <v>133537317.12785161</v>
      </c>
      <c r="I15" s="146">
        <f>'Model -Guard + Adeq $ and %'!N21</f>
        <v>9.3546631312992456E-2</v>
      </c>
      <c r="J15" s="139">
        <f>'Model -Guard + Adeq $ and %'!O21</f>
        <v>4808392.3138250671</v>
      </c>
      <c r="K15" s="141">
        <f>'Model -Guard + Adeq $ and %'!P21</f>
        <v>15268883.556303162</v>
      </c>
      <c r="P15" s="14" t="s">
        <v>10</v>
      </c>
      <c r="Q15" s="159">
        <v>-1.3722989272436604E-2</v>
      </c>
      <c r="R15" s="159">
        <v>0.18507582150013502</v>
      </c>
      <c r="S15" s="160">
        <v>-78.822977978426252</v>
      </c>
      <c r="T15" s="159">
        <v>-1.0584483908654902E-2</v>
      </c>
      <c r="U15" s="159">
        <v>0.14274820271731112</v>
      </c>
      <c r="V15" s="160">
        <v>-60.795831395179469</v>
      </c>
      <c r="W15" s="164">
        <v>-114.87727114491977</v>
      </c>
    </row>
    <row r="16" spans="2:23" x14ac:dyDescent="0.2">
      <c r="B16" s="14" t="s">
        <v>11</v>
      </c>
      <c r="C16" s="137">
        <f>'Model -Guard + Adeq $ and %'!I22</f>
        <v>0.03</v>
      </c>
      <c r="D16" s="139">
        <f>'Model -Guard + Adeq $ and %'!J22</f>
        <v>1537528</v>
      </c>
      <c r="E16" s="144">
        <f>'Model -Guard + Adeq $ and %'!H22</f>
        <v>0.39036717382916308</v>
      </c>
      <c r="F16" s="146">
        <f>'Model -Guard + Adeq $ and %'!K22</f>
        <v>8.6460636672715072E-2</v>
      </c>
      <c r="G16" s="139">
        <f>'Model -Guard + Adeq $ and %'!M22</f>
        <v>4444164.9580572788</v>
      </c>
      <c r="H16" s="150">
        <f>'Model -Guard + Adeq $ and %'!F22</f>
        <v>77704461.310308278</v>
      </c>
      <c r="I16" s="146">
        <f>'Model -Guard + Adeq $ and %'!N22</f>
        <v>5.4434151815485415E-2</v>
      </c>
      <c r="J16" s="139">
        <f>'Model -Guard + Adeq $ and %'!O22</f>
        <v>2797970.9533678782</v>
      </c>
      <c r="K16" s="141">
        <f>'Model -Guard + Adeq $ and %'!P22</f>
        <v>8779663.9114251565</v>
      </c>
      <c r="P16" s="14" t="s">
        <v>11</v>
      </c>
      <c r="Q16" s="159">
        <v>-2.5146223061280396E-2</v>
      </c>
      <c r="R16" s="159">
        <v>5.641379539969104E-2</v>
      </c>
      <c r="S16" s="160">
        <v>-174.40129031965506</v>
      </c>
      <c r="T16" s="159">
        <v>-2.7719334591920594E-2</v>
      </c>
      <c r="U16" s="159">
        <v>6.2186391430370275E-2</v>
      </c>
      <c r="V16" s="160">
        <v>-192.2470705780436</v>
      </c>
      <c r="W16" s="164">
        <v>-138.70972980287789</v>
      </c>
    </row>
    <row r="17" spans="2:23" x14ac:dyDescent="0.2">
      <c r="B17" s="15" t="s">
        <v>14</v>
      </c>
      <c r="C17" s="138"/>
      <c r="D17" s="143">
        <f>'Model -Guard + Adeq $ and %'!J23</f>
        <v>34267347</v>
      </c>
      <c r="E17" s="145"/>
      <c r="F17" s="147"/>
      <c r="G17" s="143">
        <f>'Model -Guard + Adeq $ and %'!M23</f>
        <v>51401020.499999978</v>
      </c>
      <c r="H17" s="33"/>
      <c r="I17" s="148"/>
      <c r="J17" s="143">
        <f>'Model -Guard + Adeq $ and %'!O23</f>
        <v>51401020.500000007</v>
      </c>
      <c r="K17" s="142">
        <f>'Model -Guard + Adeq $ and %'!P23</f>
        <v>137069388</v>
      </c>
      <c r="P17" s="15" t="s">
        <v>14</v>
      </c>
      <c r="Q17" s="161">
        <v>-2.0000000000000004E-2</v>
      </c>
      <c r="R17" s="161">
        <v>1</v>
      </c>
      <c r="S17" s="162">
        <v>-128.96472859610628</v>
      </c>
      <c r="T17" s="161">
        <v>-2.0000000000000004E-2</v>
      </c>
      <c r="U17" s="161">
        <v>1</v>
      </c>
      <c r="V17" s="162">
        <v>-128.96472859610628</v>
      </c>
      <c r="W17" s="165">
        <v>-128.96472859610626</v>
      </c>
    </row>
  </sheetData>
  <mergeCells count="2">
    <mergeCell ref="Q3:S3"/>
    <mergeCell ref="T3:V3"/>
  </mergeCells>
  <conditionalFormatting sqref="E1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4084C-A1ED-7142-A2CA-19CCCE3BE79C}">
  <dimension ref="A2:AK398"/>
  <sheetViews>
    <sheetView zoomScale="140" zoomScaleNormal="140" workbookViewId="0">
      <selection activeCell="C9" sqref="C9"/>
    </sheetView>
  </sheetViews>
  <sheetFormatPr baseColWidth="10" defaultRowHeight="15" x14ac:dyDescent="0.2"/>
  <cols>
    <col min="2" max="2" width="34.33203125" bestFit="1" customWidth="1"/>
    <col min="3" max="3" width="19.83203125" customWidth="1"/>
    <col min="4" max="4" width="15.83203125" customWidth="1"/>
    <col min="5" max="5" width="16" customWidth="1"/>
    <col min="6" max="6" width="14.6640625" bestFit="1" customWidth="1"/>
    <col min="7" max="7" width="14.6640625" customWidth="1"/>
    <col min="8" max="8" width="13" customWidth="1"/>
    <col min="9" max="15" width="13.33203125" customWidth="1"/>
    <col min="16" max="16" width="4.6640625" customWidth="1"/>
    <col min="17" max="17" width="16.33203125" customWidth="1"/>
    <col min="18" max="18" width="14.6640625" bestFit="1" customWidth="1"/>
    <col min="19" max="19" width="34.33203125" bestFit="1" customWidth="1"/>
    <col min="20" max="21" width="16.33203125" customWidth="1"/>
  </cols>
  <sheetData>
    <row r="2" spans="1:37" x14ac:dyDescent="0.2">
      <c r="A2" s="250">
        <v>0</v>
      </c>
      <c r="B2" t="s">
        <v>26</v>
      </c>
      <c r="C2" s="4">
        <v>1142244899.9999998</v>
      </c>
      <c r="D2" s="4"/>
      <c r="E2" s="45" t="s">
        <v>64</v>
      </c>
    </row>
    <row r="3" spans="1:37" ht="16" thickBot="1" x14ac:dyDescent="0.25">
      <c r="A3" s="250"/>
      <c r="B3" t="s">
        <v>27</v>
      </c>
      <c r="C3" s="6">
        <f>C2*(1+C4)</f>
        <v>1210779593.9999998</v>
      </c>
      <c r="D3" s="6"/>
    </row>
    <row r="4" spans="1:37" ht="17" thickBot="1" x14ac:dyDescent="0.25">
      <c r="A4" s="250"/>
      <c r="B4" t="s">
        <v>28</v>
      </c>
      <c r="C4" s="44">
        <v>0.06</v>
      </c>
      <c r="D4" s="65"/>
      <c r="E4" s="46" t="s">
        <v>65</v>
      </c>
    </row>
    <row r="5" spans="1:37" ht="16" thickBot="1" x14ac:dyDescent="0.25">
      <c r="A5" s="250"/>
      <c r="B5" t="s">
        <v>16</v>
      </c>
      <c r="C5" s="64">
        <v>0.03</v>
      </c>
      <c r="D5" s="20"/>
    </row>
    <row r="6" spans="1:37" ht="15" customHeight="1" x14ac:dyDescent="0.2">
      <c r="A6" s="250"/>
      <c r="B6" t="s">
        <v>31</v>
      </c>
      <c r="C6" s="6">
        <f>C3-C2</f>
        <v>68534694</v>
      </c>
      <c r="D6" s="6"/>
    </row>
    <row r="7" spans="1:37" ht="22" thickBot="1" x14ac:dyDescent="0.3">
      <c r="A7" s="250"/>
      <c r="B7" t="s">
        <v>48</v>
      </c>
      <c r="C7" s="20">
        <f>((1+$C$5)^A2)-1</f>
        <v>0</v>
      </c>
      <c r="D7" s="20"/>
      <c r="E7" s="19"/>
      <c r="I7" s="251" t="s">
        <v>18</v>
      </c>
      <c r="J7" s="251"/>
      <c r="K7" s="251"/>
      <c r="L7" s="251"/>
      <c r="M7" s="251"/>
      <c r="N7" s="251"/>
      <c r="O7" s="251"/>
    </row>
    <row r="8" spans="1:37" ht="20" thickBot="1" x14ac:dyDescent="0.3">
      <c r="A8" s="250"/>
      <c r="B8" t="s">
        <v>105</v>
      </c>
      <c r="C8" s="104">
        <v>0.66666665999999997</v>
      </c>
      <c r="D8" s="20"/>
      <c r="I8" s="255" t="s">
        <v>19</v>
      </c>
      <c r="J8" s="255"/>
      <c r="K8" s="255"/>
      <c r="L8" s="255"/>
      <c r="M8" s="255"/>
      <c r="N8" s="255"/>
      <c r="O8" s="255"/>
      <c r="S8" s="12" t="s">
        <v>66</v>
      </c>
    </row>
    <row r="9" spans="1:37" ht="49" thickBot="1" x14ac:dyDescent="0.25">
      <c r="A9" s="250" t="s">
        <v>51</v>
      </c>
      <c r="B9" s="22" t="s">
        <v>12</v>
      </c>
      <c r="C9" s="13" t="s">
        <v>15</v>
      </c>
      <c r="D9" s="13" t="s">
        <v>63</v>
      </c>
      <c r="E9" s="13" t="s">
        <v>29</v>
      </c>
      <c r="F9" s="13" t="s">
        <v>13</v>
      </c>
      <c r="G9" s="13" t="s">
        <v>50</v>
      </c>
      <c r="H9" s="13" t="s">
        <v>17</v>
      </c>
      <c r="I9" s="28" t="s">
        <v>20</v>
      </c>
      <c r="J9" s="28" t="s">
        <v>21</v>
      </c>
      <c r="K9" s="28" t="s">
        <v>22</v>
      </c>
      <c r="L9" s="28" t="s">
        <v>49</v>
      </c>
      <c r="M9" s="28" t="s">
        <v>23</v>
      </c>
      <c r="N9" s="28" t="s">
        <v>33</v>
      </c>
      <c r="O9" s="28" t="s">
        <v>25</v>
      </c>
      <c r="Q9" s="28" t="s">
        <v>32</v>
      </c>
      <c r="S9" s="22" t="s">
        <v>12</v>
      </c>
      <c r="T9" s="13" t="s">
        <v>15</v>
      </c>
      <c r="U9" s="13" t="s">
        <v>13</v>
      </c>
      <c r="V9" s="13" t="s">
        <v>37</v>
      </c>
      <c r="W9" s="13" t="s">
        <v>35</v>
      </c>
      <c r="X9" s="13" t="s">
        <v>36</v>
      </c>
      <c r="Y9" s="13" t="s">
        <v>38</v>
      </c>
      <c r="Z9" s="13" t="s">
        <v>39</v>
      </c>
      <c r="AA9" s="13" t="s">
        <v>40</v>
      </c>
      <c r="AB9" s="13" t="s">
        <v>41</v>
      </c>
      <c r="AC9" s="13" t="s">
        <v>42</v>
      </c>
      <c r="AD9" s="13" t="s">
        <v>43</v>
      </c>
      <c r="AE9" s="13" t="s">
        <v>44</v>
      </c>
      <c r="AF9" s="13" t="s">
        <v>45</v>
      </c>
      <c r="AG9" s="13" t="s">
        <v>46</v>
      </c>
      <c r="AH9" s="13" t="s">
        <v>47</v>
      </c>
      <c r="AI9" s="13" t="s">
        <v>75</v>
      </c>
      <c r="AJ9" s="13" t="s">
        <v>76</v>
      </c>
      <c r="AK9" s="23" t="s">
        <v>77</v>
      </c>
    </row>
    <row r="10" spans="1:37" ht="17" customHeight="1" thickTop="1" x14ac:dyDescent="0.2">
      <c r="A10" s="250"/>
      <c r="B10" s="14" t="s">
        <v>0</v>
      </c>
      <c r="C10" s="2">
        <v>74061017.606188729</v>
      </c>
      <c r="D10" s="2">
        <v>14554913.429414211</v>
      </c>
      <c r="E10" s="18">
        <v>39493233.333333336</v>
      </c>
      <c r="F10" s="4">
        <f t="shared" ref="F10:F21" si="0">C10-E10-D10</f>
        <v>20012870.843441181</v>
      </c>
      <c r="G10" s="1">
        <f>1-H10</f>
        <v>0.72977861376605158</v>
      </c>
      <c r="H10" s="1">
        <f t="shared" ref="H10:H22" si="1">MAX(0,F10/C10)</f>
        <v>0.27022138623394842</v>
      </c>
      <c r="I10" s="29">
        <f>MIN($C$5,($C$4*0.5))*$C$8</f>
        <v>1.9999999799999998E-2</v>
      </c>
      <c r="J10" s="2">
        <f t="shared" ref="J10:J21" si="2">I10*E10</f>
        <v>789864.65876801999</v>
      </c>
      <c r="K10" s="16">
        <f t="shared" ref="K10:K21" si="3">H10/$H$23</f>
        <v>6.16014251410106E-2</v>
      </c>
      <c r="L10" s="16">
        <f t="shared" ref="L10:L21" si="4">G10/$G$23</f>
        <v>9.5854612662082367E-2</v>
      </c>
      <c r="M10" s="2">
        <f>$J$23*IF($J$23&lt;0,L10,K10)</f>
        <v>2814556.5620748289</v>
      </c>
      <c r="N10" s="2">
        <f>J10+M10</f>
        <v>3604421.220842849</v>
      </c>
      <c r="O10" s="16">
        <f t="shared" ref="O10:O22" si="5">N10/E10</f>
        <v>9.1266804883271532E-2</v>
      </c>
      <c r="P10" s="16"/>
      <c r="Q10" s="2">
        <f t="shared" ref="Q10:Q21" si="6">N10+E10</f>
        <v>43097654.554176182</v>
      </c>
      <c r="S10" s="14" t="s">
        <v>0</v>
      </c>
      <c r="T10" s="2">
        <v>74061017.606188729</v>
      </c>
      <c r="U10" s="31">
        <v>20012870.843441181</v>
      </c>
      <c r="V10" s="24">
        <f>H10</f>
        <v>0.27022138623394842</v>
      </c>
      <c r="W10" s="24">
        <f>H35</f>
        <v>0.23850227400860774</v>
      </c>
      <c r="X10" s="24">
        <f>H60</f>
        <v>0.20879533745174567</v>
      </c>
      <c r="Y10" s="24">
        <f>H85</f>
        <v>0.18119809538818407</v>
      </c>
      <c r="Z10" s="24">
        <f>H110</f>
        <v>0.15579398860497651</v>
      </c>
      <c r="AA10" s="24">
        <f>H135</f>
        <v>0.13264796063193027</v>
      </c>
      <c r="AB10" s="24">
        <f>H160</f>
        <v>0.11180163694004876</v>
      </c>
      <c r="AC10" s="24">
        <f>H185</f>
        <v>9.3268293252176698E-2</v>
      </c>
      <c r="AD10" s="24">
        <f>H210</f>
        <v>7.7027924414310861E-2</v>
      </c>
      <c r="AE10" s="24">
        <f>H235</f>
        <v>6.3022873942172097E-2</v>
      </c>
      <c r="AF10" s="24">
        <f>H260</f>
        <v>5.1154649877800468E-2</v>
      </c>
      <c r="AG10" s="24">
        <f>H285</f>
        <v>4.1282708599398303E-2</v>
      </c>
      <c r="AH10" s="24">
        <f>H310</f>
        <v>3.322608649616015E-2</v>
      </c>
      <c r="AI10" s="24">
        <f>H335</f>
        <v>2.6768725660666993E-2</v>
      </c>
      <c r="AJ10" s="24">
        <f>H360</f>
        <v>2.1669077544012386E-2</v>
      </c>
      <c r="AK10" s="32">
        <f>H385</f>
        <v>1.7780630510364354E-2</v>
      </c>
    </row>
    <row r="11" spans="1:37" ht="16" x14ac:dyDescent="0.2">
      <c r="A11" s="250"/>
      <c r="B11" s="14" t="s">
        <v>1</v>
      </c>
      <c r="C11" s="2">
        <v>164966421.92469403</v>
      </c>
      <c r="D11" s="2">
        <v>55233258.957394011</v>
      </c>
      <c r="E11" s="18">
        <v>42979166.666666664</v>
      </c>
      <c r="F11" s="4">
        <f t="shared" si="0"/>
        <v>66753996.300633363</v>
      </c>
      <c r="G11" s="1">
        <f t="shared" ref="G11:G21" si="7">1-H11</f>
        <v>0.59534797735319689</v>
      </c>
      <c r="H11" s="1">
        <f t="shared" si="1"/>
        <v>0.40465202264680311</v>
      </c>
      <c r="I11" s="29">
        <f t="shared" ref="I11:I21" si="8">MIN($C$5,($C$4*0.5))*$C$8</f>
        <v>1.9999999799999998E-2</v>
      </c>
      <c r="J11" s="2">
        <f t="shared" si="2"/>
        <v>859583.32473749982</v>
      </c>
      <c r="K11" s="16">
        <f t="shared" si="3"/>
        <v>9.2247107561111027E-2</v>
      </c>
      <c r="L11" s="16">
        <f t="shared" si="4"/>
        <v>7.8197481663444646E-2</v>
      </c>
      <c r="M11" s="2">
        <f t="shared" ref="M11:M21" si="9">$J$23*IF($J$23&lt;0,L11,K11)</f>
        <v>4214751.5471309787</v>
      </c>
      <c r="N11" s="2">
        <f t="shared" ref="N11:N21" si="10">J11+M11</f>
        <v>5074334.8718684781</v>
      </c>
      <c r="O11" s="16">
        <f t="shared" si="5"/>
        <v>0.11806498974778816</v>
      </c>
      <c r="P11" s="16"/>
      <c r="Q11" s="2">
        <f t="shared" si="6"/>
        <v>48053501.53853514</v>
      </c>
      <c r="S11" s="14" t="s">
        <v>1</v>
      </c>
      <c r="T11" s="2">
        <v>164966421.92469403</v>
      </c>
      <c r="U11" s="31">
        <v>66753996.300633356</v>
      </c>
      <c r="V11" s="24">
        <f t="shared" ref="V11:V22" si="11">H11</f>
        <v>0.40465202264680311</v>
      </c>
      <c r="W11" s="24">
        <f t="shared" ref="W11:W22" si="12">H36</f>
        <v>0.38237646935948083</v>
      </c>
      <c r="X11" s="24">
        <f t="shared" ref="X11:X22" si="13">H61</f>
        <v>0.35979202194632925</v>
      </c>
      <c r="Y11" s="24">
        <f t="shared" ref="Y11:Y22" si="14">H86</f>
        <v>0.33694083431053223</v>
      </c>
      <c r="Z11" s="24">
        <f t="shared" ref="Z11:Z22" si="15">H111</f>
        <v>0.31387615800951335</v>
      </c>
      <c r="AA11" s="24">
        <f t="shared" ref="AA11:AA22" si="16">H136</f>
        <v>0.2906641207340106</v>
      </c>
      <c r="AB11" s="24">
        <f t="shared" ref="AB11:AB22" si="17">H161</f>
        <v>0.2673856191348799</v>
      </c>
      <c r="AC11" s="24">
        <f t="shared" ref="AC11:AC22" si="18">H186</f>
        <v>0.244138249689383</v>
      </c>
      <c r="AD11" s="24">
        <f t="shared" ref="AD11:AD22" si="19">H211</f>
        <v>0.22103815177539601</v>
      </c>
      <c r="AE11" s="24">
        <f t="shared" ref="AE11:AE22" si="20">H236</f>
        <v>0.19822157029384263</v>
      </c>
      <c r="AF11" s="24">
        <f t="shared" ref="AF11:AF22" si="21">H261</f>
        <v>0.17584585930107677</v>
      </c>
      <c r="AG11" s="24">
        <f t="shared" ref="AG11:AG22" si="22">H286</f>
        <v>0.1540895442329378</v>
      </c>
      <c r="AH11" s="24">
        <f t="shared" ref="AH11:AH22" si="23">H311</f>
        <v>0.13315094468852939</v>
      </c>
      <c r="AI11" s="24">
        <f t="shared" ref="AI11:AI22" si="24">H336</f>
        <v>0.1132447471022137</v>
      </c>
      <c r="AJ11" s="24">
        <f t="shared" ref="AJ11:AJ22" si="25">H361</f>
        <v>9.5954752041320868E-2</v>
      </c>
      <c r="AK11" s="32">
        <f t="shared" ref="AK11:AK22" si="26">H386</f>
        <v>7.8661230388760758E-2</v>
      </c>
    </row>
    <row r="12" spans="1:37" ht="16" x14ac:dyDescent="0.2">
      <c r="A12" s="250"/>
      <c r="B12" s="14" t="s">
        <v>2</v>
      </c>
      <c r="C12" s="2">
        <v>111850437.83915582</v>
      </c>
      <c r="D12" s="2">
        <v>28248186.721813045</v>
      </c>
      <c r="E12" s="18">
        <v>23966733.333333332</v>
      </c>
      <c r="F12" s="4">
        <f t="shared" si="0"/>
        <v>59635517.784009449</v>
      </c>
      <c r="G12" s="1">
        <f t="shared" si="7"/>
        <v>0.46682803450651611</v>
      </c>
      <c r="H12" s="1">
        <f t="shared" si="1"/>
        <v>0.53317196549348389</v>
      </c>
      <c r="I12" s="29">
        <f t="shared" si="8"/>
        <v>1.9999999799999998E-2</v>
      </c>
      <c r="J12" s="2">
        <f t="shared" si="2"/>
        <v>479334.66187331994</v>
      </c>
      <c r="K12" s="16">
        <f t="shared" si="3"/>
        <v>0.12154534982363309</v>
      </c>
      <c r="L12" s="16">
        <f t="shared" si="4"/>
        <v>6.1316705619121184E-2</v>
      </c>
      <c r="M12" s="2">
        <f t="shared" si="9"/>
        <v>5553382.2659573443</v>
      </c>
      <c r="N12" s="2">
        <f t="shared" si="10"/>
        <v>6032716.9278306644</v>
      </c>
      <c r="O12" s="16">
        <f t="shared" si="5"/>
        <v>0.2517121062735847</v>
      </c>
      <c r="P12" s="16"/>
      <c r="Q12" s="2">
        <f t="shared" si="6"/>
        <v>29999450.261163995</v>
      </c>
      <c r="S12" s="14" t="s">
        <v>2</v>
      </c>
      <c r="T12" s="2">
        <v>111850437.83915582</v>
      </c>
      <c r="U12" s="31">
        <v>59635517.784009442</v>
      </c>
      <c r="V12" s="24">
        <f t="shared" si="11"/>
        <v>0.53317196549348389</v>
      </c>
      <c r="W12" s="24">
        <f t="shared" si="12"/>
        <v>0.4870483504988502</v>
      </c>
      <c r="X12" s="24">
        <f t="shared" si="13"/>
        <v>0.44199076319662783</v>
      </c>
      <c r="Y12" s="24">
        <f t="shared" si="14"/>
        <v>0.39818162632207399</v>
      </c>
      <c r="Z12" s="24">
        <f t="shared" si="15"/>
        <v>0.35581742520565057</v>
      </c>
      <c r="AA12" s="24">
        <f t="shared" si="16"/>
        <v>0.31510730444214757</v>
      </c>
      <c r="AB12" s="24">
        <f t="shared" si="17"/>
        <v>0.27627062359896543</v>
      </c>
      <c r="AC12" s="24">
        <f t="shared" si="18"/>
        <v>0.23953317038804972</v>
      </c>
      <c r="AD12" s="24">
        <f t="shared" si="19"/>
        <v>0.20512170081070907</v>
      </c>
      <c r="AE12" s="24">
        <f t="shared" si="20"/>
        <v>0.17325647722623705</v>
      </c>
      <c r="AF12" s="24">
        <f t="shared" si="21"/>
        <v>0.14414153197314597</v>
      </c>
      <c r="AG12" s="24">
        <f t="shared" si="22"/>
        <v>0.11795252995422829</v>
      </c>
      <c r="AH12" s="24">
        <f t="shared" si="23"/>
        <v>9.4822379684014829E-2</v>
      </c>
      <c r="AI12" s="24">
        <f t="shared" si="24"/>
        <v>7.4825190637654193E-2</v>
      </c>
      <c r="AJ12" s="24">
        <f t="shared" si="25"/>
        <v>5.9284106804217258E-2</v>
      </c>
      <c r="AK12" s="32">
        <f t="shared" si="26"/>
        <v>4.5170925415177032E-2</v>
      </c>
    </row>
    <row r="13" spans="1:37" ht="16" x14ac:dyDescent="0.2">
      <c r="A13" s="250"/>
      <c r="B13" s="14" t="s">
        <v>3</v>
      </c>
      <c r="C13" s="2">
        <v>477796928.12292886</v>
      </c>
      <c r="D13" s="2">
        <v>171430519.73995176</v>
      </c>
      <c r="E13" s="18">
        <v>71966633.333333328</v>
      </c>
      <c r="F13" s="4">
        <f t="shared" si="0"/>
        <v>234399775.04964378</v>
      </c>
      <c r="G13" s="1">
        <f t="shared" si="7"/>
        <v>0.50941548332990372</v>
      </c>
      <c r="H13" s="1">
        <f t="shared" si="1"/>
        <v>0.49058451667009628</v>
      </c>
      <c r="I13" s="29">
        <f t="shared" si="8"/>
        <v>1.9999999799999998E-2</v>
      </c>
      <c r="J13" s="2">
        <f t="shared" si="2"/>
        <v>1439332.6522733397</v>
      </c>
      <c r="K13" s="16">
        <f t="shared" si="3"/>
        <v>0.1118368379356464</v>
      </c>
      <c r="L13" s="16">
        <f t="shared" si="4"/>
        <v>6.6910461498271567E-2</v>
      </c>
      <c r="M13" s="2">
        <f t="shared" si="9"/>
        <v>5109802.3361137575</v>
      </c>
      <c r="N13" s="2">
        <f t="shared" si="10"/>
        <v>6549134.9883870967</v>
      </c>
      <c r="O13" s="16">
        <f t="shared" si="5"/>
        <v>9.1002381034735499E-2</v>
      </c>
      <c r="P13" s="16"/>
      <c r="Q13" s="2">
        <f t="shared" si="6"/>
        <v>78515768.321720421</v>
      </c>
      <c r="S13" s="14" t="s">
        <v>3</v>
      </c>
      <c r="T13" s="2">
        <v>477796928.12292886</v>
      </c>
      <c r="U13" s="31">
        <v>234399775.04964375</v>
      </c>
      <c r="V13" s="24">
        <f t="shared" si="11"/>
        <v>0.49058451667009628</v>
      </c>
      <c r="W13" s="24">
        <f t="shared" si="12"/>
        <v>0.48166384828774583</v>
      </c>
      <c r="X13" s="24">
        <f t="shared" si="13"/>
        <v>0.47219631992839167</v>
      </c>
      <c r="Y13" s="24">
        <f t="shared" si="14"/>
        <v>0.46213910194299979</v>
      </c>
      <c r="Z13" s="24">
        <f t="shared" si="15"/>
        <v>0.45144605999117077</v>
      </c>
      <c r="AA13" s="24">
        <f t="shared" si="16"/>
        <v>0.44006772183907233</v>
      </c>
      <c r="AB13" s="24">
        <f t="shared" si="17"/>
        <v>0.42795134894943615</v>
      </c>
      <c r="AC13" s="24">
        <f t="shared" si="18"/>
        <v>0.415041157246616</v>
      </c>
      <c r="AD13" s="24">
        <f t="shared" si="19"/>
        <v>0.40127874423875998</v>
      </c>
      <c r="AE13" s="24">
        <f t="shared" si="20"/>
        <v>0.38660379486689944</v>
      </c>
      <c r="AF13" s="24">
        <f t="shared" si="21"/>
        <v>0.37095515607786916</v>
      </c>
      <c r="AG13" s="24">
        <f t="shared" si="22"/>
        <v>0.35427239025716606</v>
      </c>
      <c r="AH13" s="24">
        <f t="shared" si="23"/>
        <v>0.33649794069946271</v>
      </c>
      <c r="AI13" s="24">
        <f t="shared" si="24"/>
        <v>0.31758006958106211</v>
      </c>
      <c r="AJ13" s="24">
        <f t="shared" si="25"/>
        <v>0.29879253602248335</v>
      </c>
      <c r="AK13" s="32">
        <f t="shared" si="26"/>
        <v>0.27758275754044537</v>
      </c>
    </row>
    <row r="14" spans="1:37" ht="16" x14ac:dyDescent="0.2">
      <c r="A14" s="250"/>
      <c r="B14" s="14" t="s">
        <v>4</v>
      </c>
      <c r="C14" s="2">
        <v>164227660.88237971</v>
      </c>
      <c r="D14" s="2">
        <v>30983781.838364206</v>
      </c>
      <c r="E14" s="18">
        <v>36752500</v>
      </c>
      <c r="F14" s="4">
        <f t="shared" si="0"/>
        <v>96491379.044015497</v>
      </c>
      <c r="G14" s="1">
        <f t="shared" si="7"/>
        <v>0.41245355060422573</v>
      </c>
      <c r="H14" s="1">
        <f t="shared" si="1"/>
        <v>0.58754644939577427</v>
      </c>
      <c r="I14" s="29">
        <f t="shared" si="8"/>
        <v>1.9999999799999998E-2</v>
      </c>
      <c r="J14" s="2">
        <f t="shared" si="2"/>
        <v>735049.99264949991</v>
      </c>
      <c r="K14" s="16">
        <f t="shared" si="3"/>
        <v>0.13394091090919463</v>
      </c>
      <c r="L14" s="16">
        <f t="shared" si="4"/>
        <v>5.417475188844427E-2</v>
      </c>
      <c r="M14" s="2">
        <f t="shared" si="9"/>
        <v>6119732.9260939425</v>
      </c>
      <c r="N14" s="2">
        <f t="shared" si="10"/>
        <v>6854782.9187434427</v>
      </c>
      <c r="O14" s="16">
        <f t="shared" si="5"/>
        <v>0.18651201737959167</v>
      </c>
      <c r="P14" s="16"/>
      <c r="Q14" s="2">
        <f t="shared" si="6"/>
        <v>43607282.918743446</v>
      </c>
      <c r="S14" s="14" t="s">
        <v>4</v>
      </c>
      <c r="T14" s="2">
        <v>164227660.88237971</v>
      </c>
      <c r="U14" s="31">
        <v>96491379.044015497</v>
      </c>
      <c r="V14" s="24">
        <f t="shared" si="11"/>
        <v>0.58754644939577427</v>
      </c>
      <c r="W14" s="24">
        <f t="shared" si="12"/>
        <v>0.55354080228207081</v>
      </c>
      <c r="X14" s="24">
        <f t="shared" si="13"/>
        <v>0.51920994585553326</v>
      </c>
      <c r="Y14" s="24">
        <f t="shared" si="14"/>
        <v>0.48462365280737157</v>
      </c>
      <c r="Z14" s="24">
        <f t="shared" si="15"/>
        <v>0.44986809487805662</v>
      </c>
      <c r="AA14" s="24">
        <f t="shared" si="16"/>
        <v>0.41504828640456182</v>
      </c>
      <c r="AB14" s="24">
        <f t="shared" si="17"/>
        <v>0.38029063495594184</v>
      </c>
      <c r="AC14" s="24">
        <f t="shared" si="18"/>
        <v>0.34574547321952809</v>
      </c>
      <c r="AD14" s="24">
        <f t="shared" si="19"/>
        <v>0.31158937293289551</v>
      </c>
      <c r="AE14" s="24">
        <f t="shared" si="20"/>
        <v>0.27802694444442411</v>
      </c>
      <c r="AF14" s="24">
        <f t="shared" si="21"/>
        <v>0.24529170296876499</v>
      </c>
      <c r="AG14" s="24">
        <f t="shared" si="22"/>
        <v>0.21364543781909165</v>
      </c>
      <c r="AH14" s="24">
        <f t="shared" si="23"/>
        <v>0.18337536491426232</v>
      </c>
      <c r="AI14" s="24">
        <f t="shared" si="24"/>
        <v>0.1547881993523843</v>
      </c>
      <c r="AJ14" s="24">
        <f t="shared" si="25"/>
        <v>0.13006598341909476</v>
      </c>
      <c r="AK14" s="32">
        <f t="shared" si="26"/>
        <v>0.10560872850755103</v>
      </c>
    </row>
    <row r="15" spans="1:37" ht="16" x14ac:dyDescent="0.2">
      <c r="A15" s="250"/>
      <c r="B15" s="14" t="s">
        <v>5</v>
      </c>
      <c r="C15" s="2">
        <v>407962628.09385109</v>
      </c>
      <c r="D15" s="2">
        <v>129458843.77022366</v>
      </c>
      <c r="E15" s="18">
        <v>90757866.666666672</v>
      </c>
      <c r="F15" s="4">
        <f t="shared" si="0"/>
        <v>187745917.65696073</v>
      </c>
      <c r="G15" s="1">
        <f t="shared" si="7"/>
        <v>0.53979628346307718</v>
      </c>
      <c r="H15" s="1">
        <f t="shared" si="1"/>
        <v>0.46020371653692282</v>
      </c>
      <c r="I15" s="29">
        <f t="shared" si="8"/>
        <v>1.9999999799999998E-2</v>
      </c>
      <c r="J15" s="2">
        <f t="shared" si="2"/>
        <v>1815157.3151817599</v>
      </c>
      <c r="K15" s="16">
        <f t="shared" si="3"/>
        <v>0.10491103309388082</v>
      </c>
      <c r="L15" s="16">
        <f t="shared" si="4"/>
        <v>7.0900904317774419E-2</v>
      </c>
      <c r="M15" s="2">
        <f t="shared" si="9"/>
        <v>4793363.724175483</v>
      </c>
      <c r="N15" s="2">
        <f t="shared" si="10"/>
        <v>6608521.0393572431</v>
      </c>
      <c r="O15" s="16">
        <f t="shared" si="5"/>
        <v>7.281485651958812E-2</v>
      </c>
      <c r="P15" s="16"/>
      <c r="Q15" s="2">
        <f t="shared" si="6"/>
        <v>97366387.706023917</v>
      </c>
      <c r="S15" s="14" t="s">
        <v>5</v>
      </c>
      <c r="T15" s="2">
        <v>407962628.09385109</v>
      </c>
      <c r="U15" s="31">
        <v>187745917.65696079</v>
      </c>
      <c r="V15" s="24">
        <f t="shared" si="11"/>
        <v>0.46020371653692282</v>
      </c>
      <c r="W15" s="24">
        <f t="shared" si="12"/>
        <v>0.45095628411411881</v>
      </c>
      <c r="X15" s="24">
        <f t="shared" si="13"/>
        <v>0.44112622373063715</v>
      </c>
      <c r="Y15" s="24">
        <f t="shared" si="14"/>
        <v>0.43067224160206247</v>
      </c>
      <c r="Z15" s="24">
        <f t="shared" si="15"/>
        <v>0.41955060523425264</v>
      </c>
      <c r="AA15" s="24">
        <f t="shared" si="16"/>
        <v>0.40771535472297254</v>
      </c>
      <c r="AB15" s="24">
        <f t="shared" si="17"/>
        <v>0.39511867901229819</v>
      </c>
      <c r="AC15" s="24">
        <f t="shared" si="18"/>
        <v>0.38171151414678123</v>
      </c>
      <c r="AD15" s="24">
        <f t="shared" si="19"/>
        <v>0.36744443489431161</v>
      </c>
      <c r="AE15" s="24">
        <f t="shared" si="20"/>
        <v>0.35226892738728655</v>
      </c>
      <c r="AF15" s="24">
        <f t="shared" si="21"/>
        <v>0.33613914821850172</v>
      </c>
      <c r="AG15" s="24">
        <f t="shared" si="22"/>
        <v>0.31901429413187182</v>
      </c>
      <c r="AH15" s="24">
        <f t="shared" si="23"/>
        <v>0.30086172548988555</v>
      </c>
      <c r="AI15" s="24">
        <f t="shared" si="24"/>
        <v>0.28166100603331434</v>
      </c>
      <c r="AJ15" s="24">
        <f t="shared" si="25"/>
        <v>0.26277575488478239</v>
      </c>
      <c r="AK15" s="32">
        <f t="shared" si="26"/>
        <v>0.24158211152207401</v>
      </c>
    </row>
    <row r="16" spans="1:37" ht="16" x14ac:dyDescent="0.2">
      <c r="A16" s="250"/>
      <c r="B16" s="14" t="s">
        <v>6</v>
      </c>
      <c r="C16" s="2">
        <v>295355339.6784091</v>
      </c>
      <c r="D16" s="2">
        <v>128941395.61063728</v>
      </c>
      <c r="E16" s="18">
        <v>135660014.72931176</v>
      </c>
      <c r="F16" s="4">
        <f t="shared" si="0"/>
        <v>30753929.338460058</v>
      </c>
      <c r="G16" s="1">
        <f t="shared" si="7"/>
        <v>0.89587481515673373</v>
      </c>
      <c r="H16" s="1">
        <f t="shared" si="1"/>
        <v>0.10412518484326631</v>
      </c>
      <c r="I16" s="29">
        <f t="shared" si="8"/>
        <v>1.9999999799999998E-2</v>
      </c>
      <c r="J16" s="2">
        <f t="shared" si="2"/>
        <v>2713200.2674542321</v>
      </c>
      <c r="K16" s="16">
        <f t="shared" si="3"/>
        <v>2.3737054527072535E-2</v>
      </c>
      <c r="L16" s="16">
        <f t="shared" si="4"/>
        <v>0.11767093715915916</v>
      </c>
      <c r="M16" s="2">
        <f t="shared" si="9"/>
        <v>1084541.1844055266</v>
      </c>
      <c r="N16" s="2">
        <f t="shared" si="10"/>
        <v>3797741.4518597587</v>
      </c>
      <c r="O16" s="16">
        <f t="shared" si="5"/>
        <v>2.7994552849176339E-2</v>
      </c>
      <c r="P16" s="16"/>
      <c r="Q16" s="2">
        <f t="shared" si="6"/>
        <v>139457756.18117154</v>
      </c>
      <c r="S16" s="14" t="s">
        <v>6</v>
      </c>
      <c r="T16" s="2">
        <v>295355339.6784091</v>
      </c>
      <c r="U16" s="31">
        <v>30753929.338460058</v>
      </c>
      <c r="V16" s="24">
        <f t="shared" si="11"/>
        <v>0.10412518484326631</v>
      </c>
      <c r="W16" s="24">
        <f t="shared" si="12"/>
        <v>0.10501948031141044</v>
      </c>
      <c r="X16" s="24">
        <f t="shared" si="13"/>
        <v>0.1055844469663454</v>
      </c>
      <c r="Y16" s="24">
        <f t="shared" si="14"/>
        <v>0.1057981450240489</v>
      </c>
      <c r="Z16" s="24">
        <f t="shared" si="15"/>
        <v>0.10563729700890623</v>
      </c>
      <c r="AA16" s="24">
        <f t="shared" si="16"/>
        <v>0.1050774168773136</v>
      </c>
      <c r="AB16" s="24">
        <f t="shared" si="17"/>
        <v>0.10409303613831174</v>
      </c>
      <c r="AC16" s="24">
        <f t="shared" si="18"/>
        <v>0.10265806011195629</v>
      </c>
      <c r="AD16" s="24">
        <f t="shared" si="19"/>
        <v>0.1007462953477837</v>
      </c>
      <c r="AE16" s="24">
        <f t="shared" si="20"/>
        <v>9.8332197700344237E-2</v>
      </c>
      <c r="AF16" s="24">
        <f t="shared" si="21"/>
        <v>9.5391898954001048E-2</v>
      </c>
      <c r="AG16" s="24">
        <f t="shared" si="22"/>
        <v>9.1904577126807732E-2</v>
      </c>
      <c r="AH16" s="24">
        <f t="shared" si="23"/>
        <v>8.7854240137833772E-2</v>
      </c>
      <c r="AI16" s="24">
        <f t="shared" si="24"/>
        <v>8.3231992464775181E-2</v>
      </c>
      <c r="AJ16" s="24">
        <f t="shared" si="25"/>
        <v>7.8596696058535712E-2</v>
      </c>
      <c r="AK16" s="32">
        <f t="shared" si="26"/>
        <v>7.2863776731875357E-2</v>
      </c>
    </row>
    <row r="17" spans="1:37" ht="16" x14ac:dyDescent="0.2">
      <c r="A17" s="250"/>
      <c r="B17" s="14" t="s">
        <v>7</v>
      </c>
      <c r="C17" s="2">
        <v>328852284.24685562</v>
      </c>
      <c r="D17" s="2">
        <v>132027716.37106758</v>
      </c>
      <c r="E17" s="18">
        <v>63543851.937354892</v>
      </c>
      <c r="F17" s="4">
        <f t="shared" si="0"/>
        <v>133280715.93843314</v>
      </c>
      <c r="G17" s="1">
        <f t="shared" si="7"/>
        <v>0.59470947193304302</v>
      </c>
      <c r="H17" s="1">
        <f t="shared" si="1"/>
        <v>0.40529052806695692</v>
      </c>
      <c r="I17" s="29">
        <f t="shared" si="8"/>
        <v>1.9999999799999998E-2</v>
      </c>
      <c r="J17" s="2">
        <f t="shared" si="2"/>
        <v>1270877.0260383273</v>
      </c>
      <c r="K17" s="16">
        <f t="shared" si="3"/>
        <v>9.2392665410509681E-2</v>
      </c>
      <c r="L17" s="16">
        <f t="shared" si="4"/>
        <v>7.8113615558605479E-2</v>
      </c>
      <c r="M17" s="2">
        <f t="shared" si="9"/>
        <v>4221402.0556094544</v>
      </c>
      <c r="N17" s="2">
        <f t="shared" si="10"/>
        <v>5492279.0816477817</v>
      </c>
      <c r="O17" s="16">
        <f t="shared" si="5"/>
        <v>8.6432894988210343E-2</v>
      </c>
      <c r="P17" s="16"/>
      <c r="Q17" s="2">
        <f t="shared" si="6"/>
        <v>69036131.019002676</v>
      </c>
      <c r="S17" s="14" t="s">
        <v>7</v>
      </c>
      <c r="T17" s="2">
        <v>328852284.24685562</v>
      </c>
      <c r="U17" s="31">
        <v>133280715.93843317</v>
      </c>
      <c r="V17" s="24">
        <f t="shared" si="11"/>
        <v>0.40529052806695692</v>
      </c>
      <c r="W17" s="24">
        <f t="shared" si="12"/>
        <v>0.39470365319704276</v>
      </c>
      <c r="X17" s="24">
        <f t="shared" si="13"/>
        <v>0.38356611145342723</v>
      </c>
      <c r="Y17" s="24">
        <f t="shared" si="14"/>
        <v>0.37184680812433185</v>
      </c>
      <c r="Z17" s="24">
        <f t="shared" si="15"/>
        <v>0.35951437719364499</v>
      </c>
      <c r="AA17" s="24">
        <f t="shared" si="16"/>
        <v>0.34653781331815969</v>
      </c>
      <c r="AB17" s="24">
        <f t="shared" si="17"/>
        <v>0.33288733989187663</v>
      </c>
      <c r="AC17" s="24">
        <f t="shared" si="18"/>
        <v>0.31853557594386905</v>
      </c>
      <c r="AD17" s="24">
        <f t="shared" si="19"/>
        <v>0.303459075572653</v>
      </c>
      <c r="AE17" s="24">
        <f t="shared" si="20"/>
        <v>0.28764032381621107</v>
      </c>
      <c r="AF17" s="24">
        <f t="shared" si="21"/>
        <v>0.27107028062249905</v>
      </c>
      <c r="AG17" s="24">
        <f t="shared" si="22"/>
        <v>0.25375156761053291</v>
      </c>
      <c r="AH17" s="24">
        <f t="shared" si="23"/>
        <v>0.23570238771409135</v>
      </c>
      <c r="AI17" s="24">
        <f t="shared" si="24"/>
        <v>0.21696125235920882</v>
      </c>
      <c r="AJ17" s="24">
        <f t="shared" si="25"/>
        <v>0.19889858824124027</v>
      </c>
      <c r="AK17" s="32">
        <f t="shared" si="26"/>
        <v>0.17904958890609718</v>
      </c>
    </row>
    <row r="18" spans="1:37" ht="16" x14ac:dyDescent="0.2">
      <c r="A18" s="250"/>
      <c r="B18" s="14" t="s">
        <v>8</v>
      </c>
      <c r="C18" s="2">
        <v>910487338.83586597</v>
      </c>
      <c r="D18" s="2">
        <v>335922026.44153386</v>
      </c>
      <c r="E18" s="18">
        <v>252840398.47202086</v>
      </c>
      <c r="F18" s="4">
        <f t="shared" si="0"/>
        <v>321724913.92231125</v>
      </c>
      <c r="G18" s="1">
        <f t="shared" si="7"/>
        <v>0.64664537308814929</v>
      </c>
      <c r="H18" s="1">
        <f t="shared" si="1"/>
        <v>0.35335462691185071</v>
      </c>
      <c r="I18" s="29">
        <f t="shared" si="8"/>
        <v>1.9999999799999998E-2</v>
      </c>
      <c r="J18" s="2">
        <f t="shared" si="2"/>
        <v>5056807.9188723369</v>
      </c>
      <c r="K18" s="16">
        <f t="shared" si="3"/>
        <v>8.0553019512285565E-2</v>
      </c>
      <c r="L18" s="16">
        <f t="shared" si="4"/>
        <v>8.4935267487795632E-2</v>
      </c>
      <c r="M18" s="2">
        <f t="shared" si="9"/>
        <v>3680451.0471026027</v>
      </c>
      <c r="N18" s="2">
        <f t="shared" si="10"/>
        <v>8737258.96597494</v>
      </c>
      <c r="O18" s="16">
        <f t="shared" si="5"/>
        <v>3.4556419855277985E-2</v>
      </c>
      <c r="P18" s="16"/>
      <c r="Q18" s="2">
        <f t="shared" si="6"/>
        <v>261577657.43799579</v>
      </c>
      <c r="S18" s="14" t="s">
        <v>8</v>
      </c>
      <c r="T18" s="2">
        <v>910487338.83586597</v>
      </c>
      <c r="U18" s="31">
        <v>321724913.92231131</v>
      </c>
      <c r="V18" s="24">
        <f t="shared" si="11"/>
        <v>0.35335462691185071</v>
      </c>
      <c r="W18" s="24">
        <f t="shared" si="12"/>
        <v>0.35212617243832672</v>
      </c>
      <c r="X18" s="24">
        <f t="shared" si="13"/>
        <v>0.35060783282983637</v>
      </c>
      <c r="Y18" s="24">
        <f t="shared" si="14"/>
        <v>0.34877250049765213</v>
      </c>
      <c r="Z18" s="24">
        <f t="shared" si="15"/>
        <v>0.34658968962800324</v>
      </c>
      <c r="AA18" s="24">
        <f t="shared" si="16"/>
        <v>0.34402507771008095</v>
      </c>
      <c r="AB18" s="24">
        <f t="shared" si="17"/>
        <v>0.34103998658346241</v>
      </c>
      <c r="AC18" s="24">
        <f t="shared" si="18"/>
        <v>0.33759079648807194</v>
      </c>
      <c r="AD18" s="24">
        <f t="shared" si="19"/>
        <v>0.33362828589879928</v>
      </c>
      <c r="AE18" s="24">
        <f t="shared" si="20"/>
        <v>0.3290968886836429</v>
      </c>
      <c r="AF18" s="24">
        <f t="shared" si="21"/>
        <v>0.32393385782967543</v>
      </c>
      <c r="AG18" s="24">
        <f t="shared" si="22"/>
        <v>0.31806832083865116</v>
      </c>
      <c r="AH18" s="24">
        <f t="shared" si="23"/>
        <v>0.31142020474939008</v>
      </c>
      <c r="AI18" s="24">
        <f t="shared" si="24"/>
        <v>0.30389899705247858</v>
      </c>
      <c r="AJ18" s="24">
        <f t="shared" si="25"/>
        <v>0.29606302387596067</v>
      </c>
      <c r="AK18" s="32">
        <f t="shared" si="26"/>
        <v>0.28655814527303997</v>
      </c>
    </row>
    <row r="19" spans="1:37" ht="16" x14ac:dyDescent="0.2">
      <c r="A19" s="250"/>
      <c r="B19" s="14" t="s">
        <v>9</v>
      </c>
      <c r="C19" s="2">
        <v>92705416.600463837</v>
      </c>
      <c r="D19" s="2">
        <v>39968047.212658465</v>
      </c>
      <c r="E19" s="18">
        <v>24934641.605156694</v>
      </c>
      <c r="F19" s="4">
        <f t="shared" si="0"/>
        <v>27802727.782648683</v>
      </c>
      <c r="G19" s="1">
        <f t="shared" si="7"/>
        <v>0.70009597279012092</v>
      </c>
      <c r="H19" s="1">
        <f t="shared" si="1"/>
        <v>0.29990402720987908</v>
      </c>
      <c r="I19" s="29">
        <f t="shared" si="8"/>
        <v>1.9999999799999998E-2</v>
      </c>
      <c r="J19" s="2">
        <f t="shared" si="2"/>
        <v>498692.82711620547</v>
      </c>
      <c r="K19" s="16">
        <f t="shared" si="3"/>
        <v>6.8368073079391162E-2</v>
      </c>
      <c r="L19" s="16">
        <f t="shared" si="4"/>
        <v>9.1955871317974419E-2</v>
      </c>
      <c r="M19" s="2">
        <f t="shared" si="9"/>
        <v>3123723.3275290909</v>
      </c>
      <c r="N19" s="2">
        <f t="shared" si="10"/>
        <v>3622416.1546452963</v>
      </c>
      <c r="O19" s="16">
        <f t="shared" si="5"/>
        <v>0.14527644760276603</v>
      </c>
      <c r="P19" s="16"/>
      <c r="Q19" s="2">
        <f t="shared" si="6"/>
        <v>28557057.759801991</v>
      </c>
      <c r="S19" s="14" t="s">
        <v>9</v>
      </c>
      <c r="T19" s="2">
        <v>92705416.600463837</v>
      </c>
      <c r="U19" s="31">
        <v>27802727.782648683</v>
      </c>
      <c r="V19" s="24">
        <f t="shared" si="11"/>
        <v>0.29990402720987908</v>
      </c>
      <c r="W19" s="24">
        <f t="shared" si="12"/>
        <v>0.26980160932425995</v>
      </c>
      <c r="X19" s="24">
        <f t="shared" si="13"/>
        <v>0.24090118958307094</v>
      </c>
      <c r="Y19" s="24">
        <f t="shared" si="14"/>
        <v>0.21332654095566495</v>
      </c>
      <c r="Z19" s="24">
        <f t="shared" si="15"/>
        <v>0.18720265736331762</v>
      </c>
      <c r="AA19" s="24">
        <f t="shared" si="16"/>
        <v>0.16265300286238638</v>
      </c>
      <c r="AB19" s="24">
        <f t="shared" si="17"/>
        <v>0.13979595756629509</v>
      </c>
      <c r="AC19" s="24">
        <f t="shared" si="18"/>
        <v>0.11874037001774394</v>
      </c>
      <c r="AD19" s="24">
        <f t="shared" si="19"/>
        <v>9.9580173831573637E-2</v>
      </c>
      <c r="AE19" s="24">
        <f t="shared" si="20"/>
        <v>8.2388114076085039E-2</v>
      </c>
      <c r="AF19" s="24">
        <f t="shared" si="21"/>
        <v>6.7208769577686248E-2</v>
      </c>
      <c r="AG19" s="24">
        <f t="shared" si="22"/>
        <v>5.4051262614735571E-2</v>
      </c>
      <c r="AH19" s="24">
        <f t="shared" si="23"/>
        <v>4.2882320415341471E-2</v>
      </c>
      <c r="AI19" s="24">
        <f t="shared" si="24"/>
        <v>3.3620677753696634E-2</v>
      </c>
      <c r="AJ19" s="24">
        <f t="shared" si="25"/>
        <v>2.6852051172078673E-2</v>
      </c>
      <c r="AK19" s="32">
        <f t="shared" si="26"/>
        <v>2.075072241964997E-2</v>
      </c>
    </row>
    <row r="20" spans="1:37" ht="16" x14ac:dyDescent="0.2">
      <c r="A20" s="250"/>
      <c r="B20" s="14" t="s">
        <v>10</v>
      </c>
      <c r="C20" s="2">
        <v>1243404655.6066542</v>
      </c>
      <c r="D20" s="2">
        <v>824429294.57622814</v>
      </c>
      <c r="E20" s="18">
        <v>308098926.5894891</v>
      </c>
      <c r="F20" s="4">
        <f t="shared" si="0"/>
        <v>110876434.44093692</v>
      </c>
      <c r="G20" s="1">
        <f t="shared" si="7"/>
        <v>0.91082835829753217</v>
      </c>
      <c r="H20" s="1">
        <f t="shared" si="1"/>
        <v>8.9171641702467788E-2</v>
      </c>
      <c r="I20" s="29">
        <f t="shared" si="8"/>
        <v>1.9999999799999998E-2</v>
      </c>
      <c r="J20" s="2">
        <f t="shared" si="2"/>
        <v>6161978.4701699959</v>
      </c>
      <c r="K20" s="16">
        <f t="shared" si="3"/>
        <v>2.0328147551873819E-2</v>
      </c>
      <c r="L20" s="16">
        <f t="shared" si="4"/>
        <v>0.11963504799859584</v>
      </c>
      <c r="M20" s="2">
        <f>$J$23*IF($J$23&lt;0,L20,K20)</f>
        <v>928788.91934695886</v>
      </c>
      <c r="N20" s="2">
        <f t="shared" si="10"/>
        <v>7090767.3895169552</v>
      </c>
      <c r="O20" s="16">
        <f t="shared" si="5"/>
        <v>2.3014579985748185E-2</v>
      </c>
      <c r="P20" s="16"/>
      <c r="Q20" s="2">
        <f t="shared" si="6"/>
        <v>315189693.97900605</v>
      </c>
      <c r="S20" s="14" t="s">
        <v>10</v>
      </c>
      <c r="T20" s="2">
        <v>1243404655.6066542</v>
      </c>
      <c r="U20" s="31">
        <v>110876434.4409368</v>
      </c>
      <c r="V20" s="24">
        <f t="shared" si="11"/>
        <v>8.9171641702467788E-2</v>
      </c>
      <c r="W20" s="24">
        <f t="shared" si="12"/>
        <v>9.0852120338255599E-2</v>
      </c>
      <c r="X20" s="24">
        <f t="shared" si="13"/>
        <v>9.2443017954231724E-2</v>
      </c>
      <c r="Y20" s="24">
        <f t="shared" si="14"/>
        <v>9.3936921691463712E-2</v>
      </c>
      <c r="Z20" s="24">
        <f t="shared" si="15"/>
        <v>9.5325349518103175E-2</v>
      </c>
      <c r="AA20" s="24">
        <f t="shared" si="16"/>
        <v>9.6598578032555726E-2</v>
      </c>
      <c r="AB20" s="24">
        <f t="shared" si="17"/>
        <v>9.7745439693236777E-2</v>
      </c>
      <c r="AC20" s="24">
        <f t="shared" si="18"/>
        <v>9.8753083462193331E-2</v>
      </c>
      <c r="AD20" s="24">
        <f t="shared" si="19"/>
        <v>9.9606691327232905E-2</v>
      </c>
      <c r="AE20" s="24">
        <f t="shared" si="20"/>
        <v>0.10028914102758052</v>
      </c>
      <c r="AF20" s="24">
        <f t="shared" si="21"/>
        <v>0.10078060220312204</v>
      </c>
      <c r="AG20" s="24">
        <f t="shared" si="22"/>
        <v>0.10105804856492902</v>
      </c>
      <c r="AH20" s="24">
        <f t="shared" si="23"/>
        <v>0.10109466168119459</v>
      </c>
      <c r="AI20" s="24">
        <f t="shared" si="24"/>
        <v>0.10085909124782876</v>
      </c>
      <c r="AJ20" s="24">
        <f t="shared" si="25"/>
        <v>0.10047509349957323</v>
      </c>
      <c r="AK20" s="32">
        <f t="shared" si="26"/>
        <v>9.9600812936546476E-2</v>
      </c>
    </row>
    <row r="21" spans="1:37" ht="16" x14ac:dyDescent="0.2">
      <c r="A21" s="250"/>
      <c r="B21" s="14" t="s">
        <v>11</v>
      </c>
      <c r="C21" s="2">
        <v>195405555.48763829</v>
      </c>
      <c r="D21" s="2">
        <v>68262374.75193283</v>
      </c>
      <c r="E21" s="18">
        <v>51250933.333333336</v>
      </c>
      <c r="F21" s="4">
        <f t="shared" si="0"/>
        <v>75892247.402372122</v>
      </c>
      <c r="G21" s="1">
        <f t="shared" si="7"/>
        <v>0.61161673621314616</v>
      </c>
      <c r="H21" s="1">
        <f t="shared" si="1"/>
        <v>0.38838326378685378</v>
      </c>
      <c r="I21" s="29">
        <f t="shared" si="8"/>
        <v>1.9999999799999998E-2</v>
      </c>
      <c r="J21" s="2">
        <f t="shared" si="2"/>
        <v>1025018.65641648</v>
      </c>
      <c r="K21" s="16">
        <f t="shared" si="3"/>
        <v>8.8538375454390694E-2</v>
      </c>
      <c r="L21" s="16">
        <f t="shared" si="4"/>
        <v>8.0334342828731101E-2</v>
      </c>
      <c r="M21" s="2">
        <f t="shared" si="9"/>
        <v>4045300.3329090201</v>
      </c>
      <c r="N21" s="2">
        <f t="shared" si="10"/>
        <v>5070318.9893255001</v>
      </c>
      <c r="O21" s="16">
        <f t="shared" si="5"/>
        <v>9.893125177542457E-2</v>
      </c>
      <c r="P21" s="16"/>
      <c r="Q21" s="2">
        <f t="shared" si="6"/>
        <v>56321252.322658837</v>
      </c>
      <c r="S21" s="14" t="s">
        <v>11</v>
      </c>
      <c r="T21" s="2">
        <v>195405555.48763829</v>
      </c>
      <c r="U21" s="31">
        <v>75892247.402372122</v>
      </c>
      <c r="V21" s="24">
        <f t="shared" si="11"/>
        <v>0.38838326378685378</v>
      </c>
      <c r="W21" s="24">
        <f t="shared" si="12"/>
        <v>0.37083056854318835</v>
      </c>
      <c r="X21" s="24">
        <f t="shared" si="13"/>
        <v>0.35280871696631716</v>
      </c>
      <c r="Y21" s="24">
        <f t="shared" si="14"/>
        <v>0.33432885075625218</v>
      </c>
      <c r="Z21" s="24">
        <f t="shared" si="15"/>
        <v>0.31540965494046302</v>
      </c>
      <c r="AA21" s="24">
        <f t="shared" si="16"/>
        <v>0.29607907676328643</v>
      </c>
      <c r="AB21" s="24">
        <f t="shared" si="17"/>
        <v>0.27637631540498631</v>
      </c>
      <c r="AC21" s="24">
        <f t="shared" si="18"/>
        <v>0.25635408112603802</v>
      </c>
      <c r="AD21" s="24">
        <f t="shared" si="19"/>
        <v>0.23608109522360118</v>
      </c>
      <c r="AE21" s="24">
        <f t="shared" si="20"/>
        <v>0.2156447598831025</v>
      </c>
      <c r="AF21" s="24">
        <f t="shared" si="21"/>
        <v>0.19515386498814766</v>
      </c>
      <c r="AG21" s="24">
        <f t="shared" si="22"/>
        <v>0.17474111275585841</v>
      </c>
      <c r="AH21" s="24">
        <f t="shared" si="23"/>
        <v>0.15456512760369254</v>
      </c>
      <c r="AI21" s="24">
        <f t="shared" si="24"/>
        <v>0.1348114780959658</v>
      </c>
      <c r="AJ21" s="24">
        <f t="shared" si="25"/>
        <v>0.11705779328104159</v>
      </c>
      <c r="AK21" s="32">
        <f t="shared" si="26"/>
        <v>9.8736219754834445E-2</v>
      </c>
    </row>
    <row r="22" spans="1:37" x14ac:dyDescent="0.2">
      <c r="A22" s="250"/>
      <c r="B22" s="15" t="s">
        <v>14</v>
      </c>
      <c r="C22" s="30">
        <f>SUM(C10:C21)</f>
        <v>4467075684.9250851</v>
      </c>
      <c r="D22" s="30">
        <f>SUM(D10:D21)</f>
        <v>1959460359.4212189</v>
      </c>
      <c r="E22" s="30">
        <f>SUM(E10:E21)</f>
        <v>1142244899.9999998</v>
      </c>
      <c r="F22" s="30">
        <f>SUM(F10:F21)</f>
        <v>1365370425.5038664</v>
      </c>
      <c r="G22" s="1">
        <f>1-H22</f>
        <v>0.69434804292402208</v>
      </c>
      <c r="H22" s="11">
        <f t="shared" si="1"/>
        <v>0.30565195707597786</v>
      </c>
      <c r="J22" s="30">
        <f>SUM(J10:J21)</f>
        <v>22844897.771551017</v>
      </c>
      <c r="M22" s="30">
        <f>SUM(M10:M21)</f>
        <v>45689796.228448987</v>
      </c>
      <c r="N22" s="30">
        <f>SUM(N10:N21)</f>
        <v>68534694</v>
      </c>
      <c r="O22" s="16">
        <f t="shared" si="5"/>
        <v>6.0000000000000012E-2</v>
      </c>
      <c r="Q22" s="3">
        <f>SUM(Q10:Q21)</f>
        <v>1210779594</v>
      </c>
      <c r="S22" s="15" t="s">
        <v>14</v>
      </c>
      <c r="T22" s="33">
        <f>SUM(T10:T21)</f>
        <v>4467075684.9250851</v>
      </c>
      <c r="U22" s="33">
        <f>SUM(U10:U21)</f>
        <v>1365370425.5038662</v>
      </c>
      <c r="V22" s="25">
        <f t="shared" si="11"/>
        <v>0.30565195707597786</v>
      </c>
      <c r="W22" s="25">
        <f t="shared" si="12"/>
        <v>0.29820429527693743</v>
      </c>
      <c r="X22" s="25">
        <f t="shared" si="13"/>
        <v>0.29053971128957534</v>
      </c>
      <c r="Y22" s="25">
        <f t="shared" si="14"/>
        <v>0.28265188699190186</v>
      </c>
      <c r="Z22" s="25">
        <f t="shared" si="15"/>
        <v>0.27453432023895635</v>
      </c>
      <c r="AA22" s="25">
        <f t="shared" si="16"/>
        <v>0.26618031950291526</v>
      </c>
      <c r="AB22" s="25">
        <f t="shared" si="17"/>
        <v>0.25758299835708653</v>
      </c>
      <c r="AC22" s="25">
        <f t="shared" si="18"/>
        <v>0.24873526979924349</v>
      </c>
      <c r="AD22" s="25">
        <f t="shared" si="19"/>
        <v>0.23962984040961846</v>
      </c>
      <c r="AE22" s="25">
        <f t="shared" si="20"/>
        <v>0.23025920433874233</v>
      </c>
      <c r="AF22" s="25">
        <f t="shared" si="21"/>
        <v>0.22061563712017082</v>
      </c>
      <c r="AG22" s="25">
        <f t="shared" si="22"/>
        <v>0.21069118930300013</v>
      </c>
      <c r="AH22" s="25">
        <f t="shared" si="23"/>
        <v>0.20047767989892151</v>
      </c>
      <c r="AI22" s="25">
        <f t="shared" si="24"/>
        <v>0.18996668963841337</v>
      </c>
      <c r="AJ22" s="25">
        <f t="shared" si="25"/>
        <v>0.17995407915583481</v>
      </c>
      <c r="AK22" s="42">
        <f t="shared" si="26"/>
        <v>0.16884531411640188</v>
      </c>
    </row>
    <row r="23" spans="1:37" x14ac:dyDescent="0.2">
      <c r="A23" s="250"/>
      <c r="G23" s="21">
        <f>SUM(G10:G21)</f>
        <v>7.6133906705016958</v>
      </c>
      <c r="H23" s="21">
        <f>SUM(H10:H21)</f>
        <v>4.3866093294983033</v>
      </c>
      <c r="I23" s="10" t="s">
        <v>30</v>
      </c>
      <c r="J23" s="17">
        <f>C6-SUM(J10:J21)</f>
        <v>45689796.228448987</v>
      </c>
    </row>
    <row r="24" spans="1:37" x14ac:dyDescent="0.2">
      <c r="A24" s="36"/>
    </row>
    <row r="26" spans="1:37" x14ac:dyDescent="0.2">
      <c r="A26" s="250">
        <v>1</v>
      </c>
      <c r="B26" t="s">
        <v>34</v>
      </c>
      <c r="C26" s="4">
        <f>Q22</f>
        <v>1210779594</v>
      </c>
      <c r="D26" s="4"/>
    </row>
    <row r="27" spans="1:37" x14ac:dyDescent="0.2">
      <c r="A27" s="250"/>
      <c r="B27" t="s">
        <v>27</v>
      </c>
      <c r="C27" s="6">
        <f>C26*(1+C28)</f>
        <v>1283426369.6400001</v>
      </c>
      <c r="D27" s="6"/>
    </row>
    <row r="28" spans="1:37" ht="19" x14ac:dyDescent="0.25">
      <c r="A28" s="250"/>
      <c r="B28" t="s">
        <v>28</v>
      </c>
      <c r="C28" s="20">
        <f>C4</f>
        <v>0.06</v>
      </c>
      <c r="D28" s="20"/>
      <c r="S28" s="12" t="s">
        <v>67</v>
      </c>
    </row>
    <row r="29" spans="1:37" ht="16" x14ac:dyDescent="0.2">
      <c r="A29" s="250"/>
      <c r="B29" t="s">
        <v>16</v>
      </c>
      <c r="C29" s="20">
        <f>C5</f>
        <v>0.03</v>
      </c>
      <c r="D29" s="20"/>
      <c r="S29" s="22" t="s">
        <v>12</v>
      </c>
      <c r="T29" s="13" t="s">
        <v>15</v>
      </c>
      <c r="U29" s="13" t="s">
        <v>13</v>
      </c>
      <c r="V29" s="13" t="s">
        <v>37</v>
      </c>
      <c r="W29" s="13" t="s">
        <v>35</v>
      </c>
      <c r="X29" s="13" t="s">
        <v>36</v>
      </c>
      <c r="Y29" s="13" t="s">
        <v>38</v>
      </c>
      <c r="Z29" s="13" t="s">
        <v>39</v>
      </c>
      <c r="AA29" s="13" t="s">
        <v>40</v>
      </c>
      <c r="AB29" s="13" t="s">
        <v>41</v>
      </c>
      <c r="AC29" s="13" t="s">
        <v>42</v>
      </c>
      <c r="AD29" s="13" t="s">
        <v>43</v>
      </c>
      <c r="AE29" s="13" t="s">
        <v>44</v>
      </c>
      <c r="AF29" s="13" t="s">
        <v>45</v>
      </c>
      <c r="AG29" s="13" t="s">
        <v>46</v>
      </c>
      <c r="AH29" s="23" t="s">
        <v>47</v>
      </c>
      <c r="AI29" s="13" t="s">
        <v>75</v>
      </c>
      <c r="AJ29" s="13" t="s">
        <v>76</v>
      </c>
      <c r="AK29" s="23" t="s">
        <v>77</v>
      </c>
    </row>
    <row r="30" spans="1:37" x14ac:dyDescent="0.2">
      <c r="A30" s="250"/>
      <c r="B30" t="s">
        <v>31</v>
      </c>
      <c r="C30" s="6">
        <f>C27-C26</f>
        <v>72646775.640000105</v>
      </c>
      <c r="D30" s="6"/>
      <c r="S30" s="14" t="s">
        <v>0</v>
      </c>
      <c r="T30" s="2">
        <v>74061017.606188729</v>
      </c>
      <c r="U30" s="31">
        <v>20012870.843441181</v>
      </c>
      <c r="V30" s="63">
        <f>O10</f>
        <v>9.1266804883271532E-2</v>
      </c>
      <c r="W30" s="63">
        <f>O35</f>
        <v>8.415871573399962E-2</v>
      </c>
      <c r="X30" s="63">
        <f>O60</f>
        <v>7.7799189292526438E-2</v>
      </c>
      <c r="Y30" s="63">
        <f>O85</f>
        <v>7.2049239880598789E-2</v>
      </c>
      <c r="Z30" s="63">
        <f>O110</f>
        <v>6.6808929318184759E-2</v>
      </c>
      <c r="AA30" s="63">
        <f>O135</f>
        <v>6.2007869742327811E-2</v>
      </c>
      <c r="AB30" s="63">
        <f>O160</f>
        <v>5.7598823126725117E-2</v>
      </c>
      <c r="AC30" s="63">
        <f>O185</f>
        <v>5.3553146744558279E-2</v>
      </c>
      <c r="AD30" s="63">
        <f>O210</f>
        <v>4.98572225848345E-2</v>
      </c>
      <c r="AE30" s="63">
        <f>O235</f>
        <v>4.6509219696312172E-2</v>
      </c>
      <c r="AF30" s="63">
        <f>O260</f>
        <v>4.3515668750013656E-2</v>
      </c>
      <c r="AG30" s="63">
        <f>O285</f>
        <v>4.0887451154057917E-2</v>
      </c>
      <c r="AH30" s="63">
        <f>O310</f>
        <v>3.863498790086272E-2</v>
      </c>
      <c r="AI30" s="63">
        <f>O335</f>
        <v>3.6762716232800537E-2</v>
      </c>
      <c r="AJ30" s="63">
        <f>O360</f>
        <v>3.5122889589469256E-2</v>
      </c>
      <c r="AK30" s="63">
        <f>O385</f>
        <v>3.4062696029782936E-2</v>
      </c>
    </row>
    <row r="31" spans="1:37" x14ac:dyDescent="0.2">
      <c r="A31" s="250"/>
      <c r="B31" t="s">
        <v>48</v>
      </c>
      <c r="C31" s="20">
        <f>((1+$C$5)^A26)-1</f>
        <v>3.0000000000000027E-2</v>
      </c>
      <c r="D31" s="20"/>
      <c r="F31" s="2"/>
      <c r="S31" s="14" t="s">
        <v>1</v>
      </c>
      <c r="T31" s="2">
        <v>164966421.92469403</v>
      </c>
      <c r="U31" s="31">
        <v>66753996.300633356</v>
      </c>
      <c r="V31" s="63">
        <f t="shared" ref="V31:V41" si="27">O11</f>
        <v>0.11806498974778816</v>
      </c>
      <c r="W31" s="63">
        <f t="shared" ref="W31:W41" si="28">O36</f>
        <v>0.11225350892506394</v>
      </c>
      <c r="X31" s="63">
        <f t="shared" ref="X31:X41" si="29">O61</f>
        <v>0.1070703234532549</v>
      </c>
      <c r="Y31" s="63">
        <f t="shared" ref="Y31:Y41" si="30">O86</f>
        <v>0.10237486802783645</v>
      </c>
      <c r="Z31" s="63">
        <f t="shared" ref="Z31:Z41" si="31">O111</f>
        <v>9.8055244922501658E-2</v>
      </c>
      <c r="AA31" s="63">
        <f t="shared" ref="AA31:AA41" si="32">O136</f>
        <v>9.402010734264335E-2</v>
      </c>
      <c r="AB31" s="63">
        <f t="shared" ref="AB31:AB41" si="33">O161</f>
        <v>9.0193155931766453E-2</v>
      </c>
      <c r="AC31" s="63">
        <f t="shared" ref="AC31:AC41" si="34">O186</f>
        <v>8.6509425324941533E-2</v>
      </c>
      <c r="AD31" s="63">
        <f t="shared" ref="AD31:AD41" si="35">O211</f>
        <v>8.2912876648662731E-2</v>
      </c>
      <c r="AE31" s="63">
        <f t="shared" ref="AE31:AE41" si="36">O236</f>
        <v>7.9355021731926698E-2</v>
      </c>
      <c r="AF31" s="63">
        <f t="shared" ref="AF31:AF41" si="37">O261</f>
        <v>7.579443985814445E-2</v>
      </c>
      <c r="AG31" s="63">
        <f t="shared" ref="AG31:AG41" si="38">O286</f>
        <v>7.2197135663164949E-2</v>
      </c>
      <c r="AH31" s="63">
        <f t="shared" ref="AH31:AH41" si="39">O311</f>
        <v>6.8537739223015315E-2</v>
      </c>
      <c r="AI31" s="63">
        <f t="shared" ref="AI31:AI41" si="40">O336</f>
        <v>6.2265630170847269E-2</v>
      </c>
      <c r="AJ31" s="63">
        <f t="shared" ref="AJ31:AJ41" si="41">O361</f>
        <v>6.1291963794748799E-2</v>
      </c>
      <c r="AK31" s="63">
        <f t="shared" ref="AK31:AK41" si="42">O386</f>
        <v>5.7414840381310735E-2</v>
      </c>
    </row>
    <row r="32" spans="1:37" ht="21" x14ac:dyDescent="0.25">
      <c r="A32" s="250"/>
      <c r="F32" s="6"/>
      <c r="G32" s="6"/>
      <c r="I32" s="251" t="s">
        <v>18</v>
      </c>
      <c r="J32" s="251"/>
      <c r="K32" s="251"/>
      <c r="L32" s="251"/>
      <c r="M32" s="251"/>
      <c r="N32" s="251"/>
      <c r="O32" s="251"/>
      <c r="S32" s="14" t="s">
        <v>2</v>
      </c>
      <c r="T32" s="2">
        <v>111850437.83915582</v>
      </c>
      <c r="U32" s="31">
        <v>59635517.784009442</v>
      </c>
      <c r="V32" s="63">
        <f t="shared" si="27"/>
        <v>0.2517121062735847</v>
      </c>
      <c r="W32" s="63">
        <f t="shared" si="28"/>
        <v>0.20822424121204003</v>
      </c>
      <c r="X32" s="63">
        <f t="shared" si="29"/>
        <v>0.17772473449665283</v>
      </c>
      <c r="Y32" s="63">
        <f t="shared" si="30"/>
        <v>0.15493409376965978</v>
      </c>
      <c r="Z32" s="63">
        <f t="shared" si="31"/>
        <v>0.13706915205634274</v>
      </c>
      <c r="AA32" s="63">
        <f t="shared" si="32"/>
        <v>0.12252400550607645</v>
      </c>
      <c r="AB32" s="63">
        <f t="shared" si="33"/>
        <v>0.11030876606750439</v>
      </c>
      <c r="AC32" s="63">
        <f t="shared" si="34"/>
        <v>9.9783152193660712E-2</v>
      </c>
      <c r="AD32" s="63">
        <f t="shared" si="35"/>
        <v>9.051938354481387E-2</v>
      </c>
      <c r="AE32" s="63">
        <f t="shared" si="36"/>
        <v>8.222727161952717E-2</v>
      </c>
      <c r="AF32" s="63">
        <f t="shared" si="37"/>
        <v>7.4711481564175536E-2</v>
      </c>
      <c r="AG32" s="63">
        <f t="shared" si="38"/>
        <v>6.7846341352097411E-2</v>
      </c>
      <c r="AH32" s="63">
        <f t="shared" si="39"/>
        <v>6.1560426304772313E-2</v>
      </c>
      <c r="AI32" s="63">
        <f t="shared" si="40"/>
        <v>5.3798397612721566E-2</v>
      </c>
      <c r="AJ32" s="63">
        <f t="shared" si="41"/>
        <v>5.1123750402629571E-2</v>
      </c>
      <c r="AK32" s="63">
        <f t="shared" si="42"/>
        <v>4.6465357707380403E-2</v>
      </c>
    </row>
    <row r="33" spans="1:37" x14ac:dyDescent="0.2">
      <c r="A33" s="250" t="s">
        <v>51</v>
      </c>
      <c r="D33" s="2"/>
      <c r="E33" s="2"/>
      <c r="F33" s="2"/>
      <c r="I33" s="255" t="s">
        <v>19</v>
      </c>
      <c r="J33" s="255"/>
      <c r="K33" s="255"/>
      <c r="L33" s="255"/>
      <c r="M33" s="255"/>
      <c r="N33" s="255"/>
      <c r="O33" s="255"/>
      <c r="S33" s="14" t="s">
        <v>3</v>
      </c>
      <c r="T33" s="2">
        <v>477796928.12292886</v>
      </c>
      <c r="U33" s="31">
        <v>234399775.04964375</v>
      </c>
      <c r="V33" s="63">
        <f t="shared" si="27"/>
        <v>9.1002381034735499E-2</v>
      </c>
      <c r="W33" s="63">
        <f t="shared" si="28"/>
        <v>9.1121996612746475E-2</v>
      </c>
      <c r="X33" s="63">
        <f t="shared" si="29"/>
        <v>9.1291845018557902E-2</v>
      </c>
      <c r="Y33" s="63">
        <f t="shared" si="30"/>
        <v>9.1506698638842934E-2</v>
      </c>
      <c r="Z33" s="63">
        <f t="shared" si="31"/>
        <v>9.1760499820737168E-2</v>
      </c>
      <c r="AA33" s="63">
        <f t="shared" si="32"/>
        <v>9.2046093584173719E-2</v>
      </c>
      <c r="AB33" s="63">
        <f t="shared" si="33"/>
        <v>9.2354924708166128E-2</v>
      </c>
      <c r="AC33" s="63">
        <f t="shared" si="34"/>
        <v>9.2676698021017967E-2</v>
      </c>
      <c r="AD33" s="63">
        <f t="shared" si="35"/>
        <v>9.2999002998380362E-2</v>
      </c>
      <c r="AE33" s="63">
        <f t="shared" si="36"/>
        <v>9.3306906155271069E-2</v>
      </c>
      <c r="AF33" s="63">
        <f t="shared" si="37"/>
        <v>9.3582516203322863E-2</v>
      </c>
      <c r="AG33" s="63">
        <f t="shared" si="38"/>
        <v>9.3804525576011363E-2</v>
      </c>
      <c r="AH33" s="63">
        <f t="shared" si="39"/>
        <v>9.3947724416475392E-2</v>
      </c>
      <c r="AI33" s="63">
        <f t="shared" si="40"/>
        <v>8.9794777899739442E-2</v>
      </c>
      <c r="AJ33" s="63">
        <f t="shared" si="41"/>
        <v>9.3800212121094961E-2</v>
      </c>
      <c r="AK33" s="63">
        <f t="shared" si="42"/>
        <v>9.352945303296889E-2</v>
      </c>
    </row>
    <row r="34" spans="1:37" ht="49" thickBot="1" x14ac:dyDescent="0.25">
      <c r="A34" s="250"/>
      <c r="B34" s="22" t="s">
        <v>12</v>
      </c>
      <c r="C34" s="13" t="s">
        <v>15</v>
      </c>
      <c r="D34" s="13" t="s">
        <v>63</v>
      </c>
      <c r="E34" s="13" t="s">
        <v>29</v>
      </c>
      <c r="F34" s="13" t="s">
        <v>13</v>
      </c>
      <c r="G34" s="13" t="s">
        <v>50</v>
      </c>
      <c r="H34" s="13" t="s">
        <v>17</v>
      </c>
      <c r="I34" s="28" t="s">
        <v>20</v>
      </c>
      <c r="J34" s="28" t="s">
        <v>21</v>
      </c>
      <c r="K34" s="28" t="s">
        <v>22</v>
      </c>
      <c r="L34" s="28" t="s">
        <v>49</v>
      </c>
      <c r="M34" s="28" t="s">
        <v>23</v>
      </c>
      <c r="N34" s="28" t="s">
        <v>24</v>
      </c>
      <c r="O34" s="28" t="s">
        <v>25</v>
      </c>
      <c r="Q34" s="28" t="s">
        <v>32</v>
      </c>
      <c r="R34" s="27"/>
      <c r="S34" s="14" t="s">
        <v>4</v>
      </c>
      <c r="T34" s="2">
        <v>164227660.88237971</v>
      </c>
      <c r="U34" s="31">
        <v>96491379.044015497</v>
      </c>
      <c r="V34" s="63">
        <f t="shared" si="27"/>
        <v>0.18651201737959167</v>
      </c>
      <c r="W34" s="63">
        <f t="shared" si="28"/>
        <v>0.1671659660980977</v>
      </c>
      <c r="X34" s="63">
        <f t="shared" si="29"/>
        <v>0.15194678510237195</v>
      </c>
      <c r="Y34" s="63">
        <f t="shared" si="30"/>
        <v>0.13957094589259789</v>
      </c>
      <c r="Z34" s="63">
        <f t="shared" si="31"/>
        <v>0.12921866534360332</v>
      </c>
      <c r="AA34" s="63">
        <f t="shared" si="32"/>
        <v>0.12033927546166534</v>
      </c>
      <c r="AB34" s="63">
        <f t="shared" si="33"/>
        <v>0.11254695796288525</v>
      </c>
      <c r="AC34" s="63">
        <f t="shared" si="34"/>
        <v>0.10556157417457659</v>
      </c>
      <c r="AD34" s="63">
        <f t="shared" si="35"/>
        <v>9.9173600881961574E-2</v>
      </c>
      <c r="AE34" s="63">
        <f t="shared" si="36"/>
        <v>9.3222765720018544E-2</v>
      </c>
      <c r="AF34" s="63">
        <f t="shared" si="37"/>
        <v>8.7584945704897277E-2</v>
      </c>
      <c r="AG34" s="63">
        <f t="shared" si="38"/>
        <v>8.2164374403924725E-2</v>
      </c>
      <c r="AH34" s="63">
        <f t="shared" si="39"/>
        <v>7.6889502559721837E-2</v>
      </c>
      <c r="AI34" s="63">
        <f t="shared" si="40"/>
        <v>6.8784482866200355E-2</v>
      </c>
      <c r="AJ34" s="63">
        <f t="shared" si="41"/>
        <v>6.6976466278390726E-2</v>
      </c>
      <c r="AK34" s="63">
        <f t="shared" si="42"/>
        <v>6.1935379345516933E-2</v>
      </c>
    </row>
    <row r="35" spans="1:37" ht="16" thickTop="1" x14ac:dyDescent="0.2">
      <c r="A35" s="250"/>
      <c r="B35" s="14" t="s">
        <v>0</v>
      </c>
      <c r="C35" s="2">
        <f>VLOOKUP($B35,$B$9:$O$22,2,FALSE)*(1+$C$31)</f>
        <v>76282848.134374395</v>
      </c>
      <c r="D35" s="2">
        <f>VLOOKUP($B35,$B$9:$O$22,3,FALSE)*(1+$C$31)</f>
        <v>14991560.832296638</v>
      </c>
      <c r="E35" s="2">
        <f t="shared" ref="E35:E46" si="43">Q10</f>
        <v>43097654.554176182</v>
      </c>
      <c r="F35" s="4">
        <f t="shared" ref="F35:F46" si="44">C35-E35-D35</f>
        <v>18193632.747901574</v>
      </c>
      <c r="G35" s="1">
        <f>1-H35</f>
        <v>0.7614977259913922</v>
      </c>
      <c r="H35" s="1">
        <f t="shared" ref="H35:H47" si="45">MAX(0,F35/C35)</f>
        <v>0.23850227400860774</v>
      </c>
      <c r="I35" s="29">
        <f>MIN($C$5,($C$4*0.5))*$C$8</f>
        <v>1.9999999799999998E-2</v>
      </c>
      <c r="J35" s="2">
        <f t="shared" ref="J35:J46" si="46">I35*E35</f>
        <v>861953.08246399264</v>
      </c>
      <c r="K35" s="16">
        <f t="shared" ref="K35:K46" si="47">H35/$H$48</f>
        <v>5.7093177318149807E-2</v>
      </c>
      <c r="L35" s="16">
        <f t="shared" ref="L35:L46" si="48">G35/$G$48</f>
        <v>9.734612940088111E-2</v>
      </c>
      <c r="M35" s="2">
        <f>$J$48*IF($J$48&lt;0,L35,K35)</f>
        <v>2765090.1759630349</v>
      </c>
      <c r="N35" s="2">
        <f>J35+M35</f>
        <v>3627043.2584270276</v>
      </c>
      <c r="O35" s="16">
        <f t="shared" ref="O35:O47" si="49">N35/E35</f>
        <v>8.415871573399962E-2</v>
      </c>
      <c r="Q35" s="2">
        <f t="shared" ref="Q35:Q46" si="50">N35+E35</f>
        <v>46724697.812603205</v>
      </c>
      <c r="R35" s="37"/>
      <c r="S35" s="14" t="s">
        <v>5</v>
      </c>
      <c r="T35" s="2">
        <v>407962628.09385109</v>
      </c>
      <c r="U35" s="31">
        <v>187745917.65696079</v>
      </c>
      <c r="V35" s="63">
        <f t="shared" si="27"/>
        <v>7.281485651958812E-2</v>
      </c>
      <c r="W35" s="63">
        <f t="shared" si="28"/>
        <v>7.3696027676979747E-2</v>
      </c>
      <c r="X35" s="63">
        <f t="shared" si="29"/>
        <v>7.4578289875543713E-2</v>
      </c>
      <c r="Y35" s="63">
        <f t="shared" si="30"/>
        <v>7.5457914194310943E-2</v>
      </c>
      <c r="Z35" s="63">
        <f t="shared" si="31"/>
        <v>7.6329975757591831E-2</v>
      </c>
      <c r="AA35" s="63">
        <f t="shared" si="32"/>
        <v>7.7188085350082231E-2</v>
      </c>
      <c r="AB35" s="63">
        <f t="shared" si="33"/>
        <v>7.8024078553635606E-2</v>
      </c>
      <c r="AC35" s="63">
        <f t="shared" si="34"/>
        <v>7.8827661822873096E-2</v>
      </c>
      <c r="AD35" s="63">
        <f t="shared" si="35"/>
        <v>7.9586017504706244E-2</v>
      </c>
      <c r="AE35" s="63">
        <f t="shared" si="36"/>
        <v>8.0283372802585476E-2</v>
      </c>
      <c r="AF35" s="63">
        <f t="shared" si="37"/>
        <v>8.0900540250782013E-2</v>
      </c>
      <c r="AG35" s="63">
        <f t="shared" si="38"/>
        <v>8.1414437719271204E-2</v>
      </c>
      <c r="AH35" s="63">
        <f t="shared" si="39"/>
        <v>8.1797591511546058E-2</v>
      </c>
      <c r="AI35" s="63">
        <f t="shared" si="40"/>
        <v>7.85071817991118E-2</v>
      </c>
      <c r="AJ35" s="63">
        <f t="shared" si="41"/>
        <v>8.1987996847960931E-2</v>
      </c>
      <c r="AK35" s="63">
        <f t="shared" si="42"/>
        <v>8.1785081944507385E-2</v>
      </c>
    </row>
    <row r="36" spans="1:37" x14ac:dyDescent="0.2">
      <c r="A36" s="250"/>
      <c r="B36" s="14" t="s">
        <v>1</v>
      </c>
      <c r="C36" s="2">
        <f t="shared" ref="C36:C46" si="51">VLOOKUP($B36,$B$9:$O$22,2,FALSE)*(1+$C$31)</f>
        <v>169915414.58243486</v>
      </c>
      <c r="D36" s="2">
        <f t="shared" ref="D36:D46" si="52">VLOOKUP($B36,$B$9:$O$22,3,FALSE)*(1+$C$31)</f>
        <v>56890256.72611583</v>
      </c>
      <c r="E36" s="2">
        <f t="shared" si="43"/>
        <v>48053501.53853514</v>
      </c>
      <c r="F36" s="4">
        <f t="shared" si="44"/>
        <v>64971656.317783885</v>
      </c>
      <c r="G36" s="1">
        <f t="shared" ref="G36:G46" si="53">1-H36</f>
        <v>0.61762353064051911</v>
      </c>
      <c r="H36" s="1">
        <f t="shared" si="45"/>
        <v>0.38237646935948083</v>
      </c>
      <c r="I36" s="29">
        <f t="shared" ref="I36:I46" si="54">MIN($C$5,($C$4*0.5))*$C$8</f>
        <v>1.9999999799999998E-2</v>
      </c>
      <c r="J36" s="2">
        <f t="shared" si="46"/>
        <v>961070.02116000245</v>
      </c>
      <c r="K36" s="16">
        <f t="shared" si="47"/>
        <v>9.153408561060937E-2</v>
      </c>
      <c r="L36" s="16">
        <f t="shared" si="48"/>
        <v>7.8953958866373103E-2</v>
      </c>
      <c r="M36" s="2">
        <f t="shared" ref="M36:M46" si="55">$J$48*IF($J$48&lt;0,L36,K36)</f>
        <v>4433104.1426765257</v>
      </c>
      <c r="N36" s="2">
        <f t="shared" ref="N36:N46" si="56">J36+M36</f>
        <v>5394174.1638365285</v>
      </c>
      <c r="O36" s="16">
        <f t="shared" si="49"/>
        <v>0.11225350892506394</v>
      </c>
      <c r="Q36" s="2">
        <f t="shared" si="50"/>
        <v>53447675.702371672</v>
      </c>
      <c r="S36" s="14" t="s">
        <v>6</v>
      </c>
      <c r="T36" s="2">
        <v>295355339.6784091</v>
      </c>
      <c r="U36" s="31">
        <v>30753929.338460058</v>
      </c>
      <c r="V36" s="63">
        <f t="shared" si="27"/>
        <v>2.7994552849176339E-2</v>
      </c>
      <c r="W36" s="63">
        <f t="shared" si="28"/>
        <v>2.8730597296659003E-2</v>
      </c>
      <c r="X36" s="63">
        <f t="shared" si="29"/>
        <v>2.9519257247877791E-2</v>
      </c>
      <c r="Y36" s="63">
        <f t="shared" si="30"/>
        <v>3.0362018385089083E-2</v>
      </c>
      <c r="Z36" s="63">
        <f t="shared" si="31"/>
        <v>3.1259671664114003E-2</v>
      </c>
      <c r="AA36" s="63">
        <f t="shared" si="32"/>
        <v>3.2212048280410001E-2</v>
      </c>
      <c r="AB36" s="63">
        <f t="shared" si="33"/>
        <v>3.3217691775977942E-2</v>
      </c>
      <c r="AC36" s="63">
        <f t="shared" si="34"/>
        <v>3.4273459953463578E-2</v>
      </c>
      <c r="AD36" s="63">
        <f t="shared" si="35"/>
        <v>3.5374051978267575E-2</v>
      </c>
      <c r="AE36" s="63">
        <f t="shared" si="36"/>
        <v>3.6511460892661177E-2</v>
      </c>
      <c r="AF36" s="63">
        <f t="shared" si="37"/>
        <v>3.7674359190572319E-2</v>
      </c>
      <c r="AG36" s="63">
        <f t="shared" si="38"/>
        <v>3.8847435217055235E-2</v>
      </c>
      <c r="AH36" s="63">
        <f t="shared" si="39"/>
        <v>4.0010710414960481E-2</v>
      </c>
      <c r="AI36" s="63">
        <f t="shared" si="40"/>
        <v>3.9942339970118569E-2</v>
      </c>
      <c r="AJ36" s="63">
        <f t="shared" si="41"/>
        <v>4.2179091511252591E-2</v>
      </c>
      <c r="AK36" s="63">
        <f t="shared" si="42"/>
        <v>4.3143432540929519E-2</v>
      </c>
    </row>
    <row r="37" spans="1:37" x14ac:dyDescent="0.2">
      <c r="A37" s="250"/>
      <c r="B37" s="14" t="s">
        <v>2</v>
      </c>
      <c r="C37" s="2">
        <f>VLOOKUP($B37,$B$9:$O$22,2,FALSE)*(1+$C$31)</f>
        <v>115205950.9743305</v>
      </c>
      <c r="D37" s="2">
        <f t="shared" si="52"/>
        <v>29095632.323467437</v>
      </c>
      <c r="E37" s="2">
        <f t="shared" si="43"/>
        <v>29999450.261163995</v>
      </c>
      <c r="F37" s="4">
        <f t="shared" si="44"/>
        <v>56110868.389699072</v>
      </c>
      <c r="G37" s="1">
        <f t="shared" si="53"/>
        <v>0.5129516495011498</v>
      </c>
      <c r="H37" s="1">
        <f t="shared" si="45"/>
        <v>0.4870483504988502</v>
      </c>
      <c r="I37" s="29">
        <f t="shared" si="54"/>
        <v>1.9999999799999998E-2</v>
      </c>
      <c r="J37" s="2">
        <f t="shared" si="46"/>
        <v>599988.99922338978</v>
      </c>
      <c r="K37" s="16">
        <f t="shared" si="47"/>
        <v>0.11659066125524509</v>
      </c>
      <c r="L37" s="16">
        <f t="shared" si="48"/>
        <v>6.5573219649113945E-2</v>
      </c>
      <c r="M37" s="2">
        <f t="shared" si="55"/>
        <v>5646623.7681858195</v>
      </c>
      <c r="N37" s="2">
        <f t="shared" si="56"/>
        <v>6246612.7674092092</v>
      </c>
      <c r="O37" s="16">
        <f t="shared" si="49"/>
        <v>0.20822424121204003</v>
      </c>
      <c r="Q37" s="2">
        <f t="shared" si="50"/>
        <v>36246063.0285732</v>
      </c>
      <c r="S37" s="14" t="s">
        <v>7</v>
      </c>
      <c r="T37" s="2">
        <v>328852284.24685562</v>
      </c>
      <c r="U37" s="31">
        <v>133280715.93843317</v>
      </c>
      <c r="V37" s="63">
        <f t="shared" si="27"/>
        <v>8.6432894988210343E-2</v>
      </c>
      <c r="W37" s="63">
        <f t="shared" si="28"/>
        <v>8.6284422286773466E-2</v>
      </c>
      <c r="X37" s="63">
        <f t="shared" si="29"/>
        <v>8.6155763486946049E-2</v>
      </c>
      <c r="Y37" s="63">
        <f t="shared" si="30"/>
        <v>8.6038479955326333E-2</v>
      </c>
      <c r="Z37" s="63">
        <f t="shared" si="31"/>
        <v>8.5922860139961768E-2</v>
      </c>
      <c r="AA37" s="63">
        <f t="shared" si="32"/>
        <v>8.5797614112146925E-2</v>
      </c>
      <c r="AB37" s="63">
        <f t="shared" si="33"/>
        <v>8.5649534968164437E-2</v>
      </c>
      <c r="AC37" s="63">
        <f t="shared" si="34"/>
        <v>8.5463129844500399E-2</v>
      </c>
      <c r="AD37" s="63">
        <f t="shared" si="35"/>
        <v>8.5220227312206007E-2</v>
      </c>
      <c r="AE37" s="63">
        <f t="shared" si="36"/>
        <v>8.4899572750967628E-2</v>
      </c>
      <c r="AF37" s="63">
        <f t="shared" si="37"/>
        <v>8.4476428368384593E-2</v>
      </c>
      <c r="AG37" s="63">
        <f t="shared" si="38"/>
        <v>8.3922198657715996E-2</v>
      </c>
      <c r="AH37" s="63">
        <f t="shared" si="39"/>
        <v>8.3204103520786138E-2</v>
      </c>
      <c r="AI37" s="63">
        <f t="shared" si="40"/>
        <v>7.8759356652637613E-2</v>
      </c>
      <c r="AJ37" s="63">
        <f t="shared" si="41"/>
        <v>8.1159633772339992E-2</v>
      </c>
      <c r="AK37" s="63">
        <f t="shared" si="42"/>
        <v>7.973593537136571E-2</v>
      </c>
    </row>
    <row r="38" spans="1:37" x14ac:dyDescent="0.2">
      <c r="A38" s="250"/>
      <c r="B38" s="14" t="s">
        <v>3</v>
      </c>
      <c r="C38" s="2">
        <f>VLOOKUP($B38,$B$9:$O$22,2,FALSE)*(1+$C$31)</f>
        <v>492130835.96661675</v>
      </c>
      <c r="D38" s="2">
        <f t="shared" si="52"/>
        <v>176573435.33215031</v>
      </c>
      <c r="E38" s="2">
        <f t="shared" si="43"/>
        <v>78515768.321720421</v>
      </c>
      <c r="F38" s="4">
        <f t="shared" si="44"/>
        <v>237041632.31274602</v>
      </c>
      <c r="G38" s="1">
        <f t="shared" si="53"/>
        <v>0.51833615171225422</v>
      </c>
      <c r="H38" s="1">
        <f t="shared" si="45"/>
        <v>0.48166384828774583</v>
      </c>
      <c r="I38" s="29">
        <f t="shared" si="54"/>
        <v>1.9999999799999998E-2</v>
      </c>
      <c r="J38" s="2">
        <f t="shared" si="46"/>
        <v>1570315.3507312546</v>
      </c>
      <c r="K38" s="16">
        <f t="shared" si="47"/>
        <v>0.11530170776083332</v>
      </c>
      <c r="L38" s="16">
        <f t="shared" si="48"/>
        <v>6.6261547967257112E-2</v>
      </c>
      <c r="M38" s="2">
        <f t="shared" si="55"/>
        <v>5584198.2243277412</v>
      </c>
      <c r="N38" s="2">
        <f t="shared" si="56"/>
        <v>7154513.5750589957</v>
      </c>
      <c r="O38" s="16">
        <f t="shared" si="49"/>
        <v>9.1121996612746475E-2</v>
      </c>
      <c r="Q38" s="2">
        <f t="shared" si="50"/>
        <v>85670281.896779418</v>
      </c>
      <c r="S38" s="14" t="s">
        <v>8</v>
      </c>
      <c r="T38" s="2">
        <v>910487338.83586597</v>
      </c>
      <c r="U38" s="31">
        <v>321724913.92231131</v>
      </c>
      <c r="V38" s="63">
        <f t="shared" si="27"/>
        <v>3.4556419855277985E-2</v>
      </c>
      <c r="W38" s="63">
        <f t="shared" si="28"/>
        <v>3.5606820282029363E-2</v>
      </c>
      <c r="X38" s="63">
        <f t="shared" si="29"/>
        <v>3.674069617295548E-2</v>
      </c>
      <c r="Y38" s="63">
        <f t="shared" si="30"/>
        <v>3.7964769700023479E-2</v>
      </c>
      <c r="Z38" s="63">
        <f t="shared" si="31"/>
        <v>3.9286100568892285E-2</v>
      </c>
      <c r="AA38" s="63">
        <f t="shared" si="32"/>
        <v>4.0712021255947389E-2</v>
      </c>
      <c r="AB38" s="63">
        <f t="shared" si="33"/>
        <v>4.2250043085715387E-2</v>
      </c>
      <c r="AC38" s="63">
        <f t="shared" si="34"/>
        <v>4.3907729161173872E-2</v>
      </c>
      <c r="AD38" s="63">
        <f t="shared" si="35"/>
        <v>4.569253239322775E-2</v>
      </c>
      <c r="AE38" s="63">
        <f t="shared" si="36"/>
        <v>4.7611601046228164E-2</v>
      </c>
      <c r="AF38" s="63">
        <f t="shared" si="37"/>
        <v>4.9671560919838445E-2</v>
      </c>
      <c r="AG38" s="63">
        <f t="shared" si="38"/>
        <v>5.1878292909791977E-2</v>
      </c>
      <c r="AH38" s="63">
        <f t="shared" si="39"/>
        <v>5.4236737076361903E-2</v>
      </c>
      <c r="AI38" s="63">
        <f t="shared" si="40"/>
        <v>5.4670536221996184E-2</v>
      </c>
      <c r="AJ38" s="63">
        <f t="shared" si="41"/>
        <v>5.9224873097712481E-2</v>
      </c>
      <c r="AK38" s="63">
        <f t="shared" si="42"/>
        <v>6.2045638409172904E-2</v>
      </c>
    </row>
    <row r="39" spans="1:37" x14ac:dyDescent="0.2">
      <c r="A39" s="250"/>
      <c r="B39" s="14" t="s">
        <v>4</v>
      </c>
      <c r="C39" s="2">
        <f t="shared" si="51"/>
        <v>169154490.7088511</v>
      </c>
      <c r="D39" s="2">
        <f t="shared" si="52"/>
        <v>31913295.293515135</v>
      </c>
      <c r="E39" s="2">
        <f t="shared" si="43"/>
        <v>43607282.918743446</v>
      </c>
      <c r="F39" s="4">
        <f t="shared" si="44"/>
        <v>93633912.496592522</v>
      </c>
      <c r="G39" s="1">
        <f t="shared" si="53"/>
        <v>0.44645919771792919</v>
      </c>
      <c r="H39" s="1">
        <f t="shared" si="45"/>
        <v>0.55354080228207081</v>
      </c>
      <c r="I39" s="29">
        <f t="shared" si="54"/>
        <v>1.9999999799999998E-2</v>
      </c>
      <c r="J39" s="2">
        <f t="shared" si="46"/>
        <v>872145.64965341229</v>
      </c>
      <c r="K39" s="16">
        <f t="shared" si="47"/>
        <v>0.13250776458584448</v>
      </c>
      <c r="L39" s="16">
        <f t="shared" si="48"/>
        <v>5.7073151172816992E-2</v>
      </c>
      <c r="M39" s="2">
        <f t="shared" si="55"/>
        <v>6417507.928371409</v>
      </c>
      <c r="N39" s="2">
        <f t="shared" si="56"/>
        <v>7289653.5780248214</v>
      </c>
      <c r="O39" s="16">
        <f t="shared" si="49"/>
        <v>0.1671659660980977</v>
      </c>
      <c r="Q39" s="2">
        <f t="shared" si="50"/>
        <v>50896936.496768266</v>
      </c>
      <c r="S39" s="14" t="s">
        <v>9</v>
      </c>
      <c r="T39" s="2">
        <v>92705416.600463837</v>
      </c>
      <c r="U39" s="31">
        <v>27802727.782648683</v>
      </c>
      <c r="V39" s="63">
        <f t="shared" si="27"/>
        <v>0.14527644760276603</v>
      </c>
      <c r="W39" s="63">
        <f t="shared" si="28"/>
        <v>0.1295337231857685</v>
      </c>
      <c r="X39" s="63">
        <f t="shared" si="29"/>
        <v>0.11659924575041676</v>
      </c>
      <c r="Y39" s="63">
        <f t="shared" si="30"/>
        <v>0.105680110378004</v>
      </c>
      <c r="Z39" s="63">
        <f t="shared" si="31"/>
        <v>9.6251715582803501E-2</v>
      </c>
      <c r="AA39" s="63">
        <f t="shared" si="32"/>
        <v>8.7956049132711531E-2</v>
      </c>
      <c r="AB39" s="63">
        <f t="shared" si="33"/>
        <v>8.0544269150885778E-2</v>
      </c>
      <c r="AC39" s="63">
        <f t="shared" si="34"/>
        <v>7.3842889450503948E-2</v>
      </c>
      <c r="AD39" s="63">
        <f t="shared" si="35"/>
        <v>6.7733197414496099E-2</v>
      </c>
      <c r="AE39" s="63">
        <f t="shared" si="36"/>
        <v>6.2138321589138533E-2</v>
      </c>
      <c r="AF39" s="63">
        <f t="shared" si="37"/>
        <v>5.7014686349592364E-2</v>
      </c>
      <c r="AG39" s="63">
        <f t="shared" si="38"/>
        <v>5.2345731066582225E-2</v>
      </c>
      <c r="AH39" s="63">
        <f t="shared" si="39"/>
        <v>4.8136326520509573E-2</v>
      </c>
      <c r="AI39" s="63">
        <f t="shared" si="40"/>
        <v>4.302510737202736E-2</v>
      </c>
      <c r="AJ39" s="63">
        <f t="shared" si="41"/>
        <v>4.1594383073825916E-2</v>
      </c>
      <c r="AK39" s="63">
        <f t="shared" si="42"/>
        <v>3.8793900072104683E-2</v>
      </c>
    </row>
    <row r="40" spans="1:37" x14ac:dyDescent="0.2">
      <c r="A40" s="250"/>
      <c r="B40" s="14" t="s">
        <v>5</v>
      </c>
      <c r="C40" s="2">
        <f t="shared" si="51"/>
        <v>420201506.93666661</v>
      </c>
      <c r="D40" s="2">
        <f t="shared" si="52"/>
        <v>133342609.08333038</v>
      </c>
      <c r="E40" s="2">
        <f t="shared" si="43"/>
        <v>97366387.706023917</v>
      </c>
      <c r="F40" s="4">
        <f t="shared" si="44"/>
        <v>189492510.14731228</v>
      </c>
      <c r="G40" s="1">
        <f t="shared" si="53"/>
        <v>0.54904371588588119</v>
      </c>
      <c r="H40" s="1">
        <f t="shared" si="45"/>
        <v>0.45095628411411881</v>
      </c>
      <c r="I40" s="29">
        <f t="shared" si="54"/>
        <v>1.9999999799999998E-2</v>
      </c>
      <c r="J40" s="2">
        <f t="shared" si="46"/>
        <v>1947327.7346472007</v>
      </c>
      <c r="K40" s="16">
        <f t="shared" si="47"/>
        <v>0.10795086629124599</v>
      </c>
      <c r="L40" s="16">
        <f t="shared" si="48"/>
        <v>7.018705215932812E-2</v>
      </c>
      <c r="M40" s="2">
        <f t="shared" si="55"/>
        <v>5228188.2685434781</v>
      </c>
      <c r="N40" s="2">
        <f t="shared" si="56"/>
        <v>7175516.0031906785</v>
      </c>
      <c r="O40" s="16">
        <f t="shared" si="49"/>
        <v>7.3696027676979747E-2</v>
      </c>
      <c r="Q40" s="2">
        <f t="shared" si="50"/>
        <v>104541903.7092146</v>
      </c>
      <c r="S40" s="14" t="s">
        <v>10</v>
      </c>
      <c r="T40" s="2">
        <v>1243404655.6066542</v>
      </c>
      <c r="U40" s="31">
        <v>110876434.4409368</v>
      </c>
      <c r="V40" s="63">
        <f t="shared" si="27"/>
        <v>2.3014579985748185E-2</v>
      </c>
      <c r="W40" s="63">
        <f t="shared" si="28"/>
        <v>2.3341795023513686E-2</v>
      </c>
      <c r="X40" s="63">
        <f t="shared" si="29"/>
        <v>2.3707053253305597E-2</v>
      </c>
      <c r="Y40" s="63">
        <f t="shared" si="30"/>
        <v>2.4115409027626961E-2</v>
      </c>
      <c r="Z40" s="63">
        <f t="shared" si="31"/>
        <v>2.4572652212199838E-2</v>
      </c>
      <c r="AA40" s="63">
        <f t="shared" si="32"/>
        <v>2.5085415621746744E-2</v>
      </c>
      <c r="AB40" s="63">
        <f t="shared" si="33"/>
        <v>2.5661296671975656E-2</v>
      </c>
      <c r="AC40" s="63">
        <f t="shared" si="34"/>
        <v>2.6308995316752487E-2</v>
      </c>
      <c r="AD40" s="63">
        <f t="shared" si="35"/>
        <v>2.7038471441350995E-2</v>
      </c>
      <c r="AE40" s="63">
        <f t="shared" si="36"/>
        <v>2.7861126964403387E-2</v>
      </c>
      <c r="AF40" s="63">
        <f t="shared" si="37"/>
        <v>2.8790021627714865E-2</v>
      </c>
      <c r="AG40" s="63">
        <f t="shared" si="38"/>
        <v>2.9840137813209454E-2</v>
      </c>
      <c r="AH40" s="63">
        <f t="shared" si="39"/>
        <v>3.1028720148482451E-2</v>
      </c>
      <c r="AI40" s="63">
        <f t="shared" si="40"/>
        <v>3.1675219055483331E-2</v>
      </c>
      <c r="AJ40" s="63">
        <f t="shared" si="41"/>
        <v>3.3807921403463059E-2</v>
      </c>
      <c r="AK40" s="63">
        <f t="shared" si="42"/>
        <v>3.5531446417544021E-2</v>
      </c>
    </row>
    <row r="41" spans="1:37" x14ac:dyDescent="0.2">
      <c r="A41" s="250"/>
      <c r="B41" s="14" t="s">
        <v>6</v>
      </c>
      <c r="C41" s="2">
        <f t="shared" si="51"/>
        <v>304215999.86876136</v>
      </c>
      <c r="D41" s="2">
        <f t="shared" si="52"/>
        <v>132809637.4789564</v>
      </c>
      <c r="E41" s="2">
        <f t="shared" si="43"/>
        <v>139457756.18117154</v>
      </c>
      <c r="F41" s="4">
        <f t="shared" si="44"/>
        <v>31948606.208633423</v>
      </c>
      <c r="G41" s="1">
        <f t="shared" si="53"/>
        <v>0.8949805196885896</v>
      </c>
      <c r="H41" s="1">
        <f t="shared" si="45"/>
        <v>0.10501948031141044</v>
      </c>
      <c r="I41" s="29">
        <f t="shared" si="54"/>
        <v>1.9999999799999998E-2</v>
      </c>
      <c r="J41" s="2">
        <f t="shared" si="46"/>
        <v>2789155.0957318791</v>
      </c>
      <c r="K41" s="16">
        <f t="shared" si="47"/>
        <v>2.5139784667474081E-2</v>
      </c>
      <c r="L41" s="16">
        <f t="shared" si="48"/>
        <v>0.11440991418253833</v>
      </c>
      <c r="M41" s="2">
        <f t="shared" si="55"/>
        <v>1217549.5370050182</v>
      </c>
      <c r="N41" s="2">
        <f t="shared" si="56"/>
        <v>4006704.6327368971</v>
      </c>
      <c r="O41" s="16">
        <f t="shared" si="49"/>
        <v>2.8730597296659003E-2</v>
      </c>
      <c r="Q41" s="2">
        <f t="shared" si="50"/>
        <v>143464460.81390843</v>
      </c>
      <c r="S41" s="14" t="s">
        <v>11</v>
      </c>
      <c r="T41" s="2">
        <v>195405555.48763829</v>
      </c>
      <c r="U41" s="31">
        <v>75892247.402372122</v>
      </c>
      <c r="V41" s="63">
        <f t="shared" si="27"/>
        <v>9.893125177542457E-2</v>
      </c>
      <c r="W41" s="63">
        <f t="shared" si="28"/>
        <v>9.6334347555254191E-2</v>
      </c>
      <c r="X41" s="63">
        <f t="shared" si="29"/>
        <v>9.3904594018571944E-2</v>
      </c>
      <c r="Y41" s="63">
        <f t="shared" si="30"/>
        <v>9.1601843368684863E-2</v>
      </c>
      <c r="Z41" s="63">
        <f t="shared" si="31"/>
        <v>8.9389387214917737E-2</v>
      </c>
      <c r="AA41" s="63">
        <f t="shared" si="32"/>
        <v>8.7232824856699781E-2</v>
      </c>
      <c r="AB41" s="63">
        <f t="shared" si="33"/>
        <v>8.5099199904882947E-2</v>
      </c>
      <c r="AC41" s="63">
        <f t="shared" si="34"/>
        <v>8.2956375577718483E-2</v>
      </c>
      <c r="AD41" s="63">
        <f t="shared" si="35"/>
        <v>8.0772648436014602E-2</v>
      </c>
      <c r="AE41" s="63">
        <f t="shared" si="36"/>
        <v>7.8516627295471764E-2</v>
      </c>
      <c r="AF41" s="63">
        <f t="shared" si="37"/>
        <v>7.6157430124807565E-2</v>
      </c>
      <c r="AG41" s="63">
        <f t="shared" si="38"/>
        <v>7.3665277299291149E-2</v>
      </c>
      <c r="AH41" s="63">
        <f t="shared" si="39"/>
        <v>7.1012584032177098E-2</v>
      </c>
      <c r="AI41" s="63">
        <f t="shared" si="40"/>
        <v>6.5448751664468882E-2</v>
      </c>
      <c r="AJ41" s="63">
        <f t="shared" si="41"/>
        <v>6.536550550377225E-2</v>
      </c>
      <c r="AK41" s="63">
        <f t="shared" si="42"/>
        <v>6.2132989337792793E-2</v>
      </c>
    </row>
    <row r="42" spans="1:37" x14ac:dyDescent="0.2">
      <c r="A42" s="250"/>
      <c r="B42" s="14" t="s">
        <v>7</v>
      </c>
      <c r="C42" s="2">
        <f t="shared" si="51"/>
        <v>338717852.7742613</v>
      </c>
      <c r="D42" s="2">
        <f t="shared" si="52"/>
        <v>135988547.8621996</v>
      </c>
      <c r="E42" s="2">
        <f t="shared" si="43"/>
        <v>69036131.019002676</v>
      </c>
      <c r="F42" s="4">
        <f t="shared" si="44"/>
        <v>133693173.89305902</v>
      </c>
      <c r="G42" s="1">
        <f t="shared" si="53"/>
        <v>0.6052963468029573</v>
      </c>
      <c r="H42" s="1">
        <f t="shared" si="45"/>
        <v>0.39470365319704276</v>
      </c>
      <c r="I42" s="29">
        <f t="shared" si="54"/>
        <v>1.9999999799999998E-2</v>
      </c>
      <c r="J42" s="2">
        <f t="shared" si="46"/>
        <v>1380722.6065728271</v>
      </c>
      <c r="K42" s="16">
        <f t="shared" si="47"/>
        <v>9.4484992873849774E-2</v>
      </c>
      <c r="L42" s="16">
        <f t="shared" si="48"/>
        <v>7.7378112226204263E-2</v>
      </c>
      <c r="M42" s="2">
        <f t="shared" si="55"/>
        <v>4576020.0753158201</v>
      </c>
      <c r="N42" s="2">
        <f t="shared" si="56"/>
        <v>5956742.6818886474</v>
      </c>
      <c r="O42" s="16">
        <f t="shared" si="49"/>
        <v>8.6284422286773466E-2</v>
      </c>
      <c r="Q42" s="2">
        <f t="shared" si="50"/>
        <v>74992873.700891316</v>
      </c>
      <c r="S42" s="15" t="s">
        <v>14</v>
      </c>
      <c r="T42" s="33">
        <f>SUM(T30:T41)</f>
        <v>4467075684.9250851</v>
      </c>
      <c r="U42" s="33">
        <f>SUM(U30:U41)</f>
        <v>1365370425.5038662</v>
      </c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</row>
    <row r="43" spans="1:37" x14ac:dyDescent="0.2">
      <c r="A43" s="250"/>
      <c r="B43" s="14" t="s">
        <v>8</v>
      </c>
      <c r="C43" s="2">
        <f t="shared" si="51"/>
        <v>937801959.00094199</v>
      </c>
      <c r="D43" s="2">
        <f t="shared" si="52"/>
        <v>345999687.23477989</v>
      </c>
      <c r="E43" s="2">
        <f t="shared" si="43"/>
        <v>261577657.43799579</v>
      </c>
      <c r="F43" s="4">
        <f t="shared" si="44"/>
        <v>330224614.32816631</v>
      </c>
      <c r="G43" s="1">
        <f t="shared" si="53"/>
        <v>0.64787382756167333</v>
      </c>
      <c r="H43" s="1">
        <f t="shared" si="45"/>
        <v>0.35212617243832672</v>
      </c>
      <c r="I43" s="29">
        <f t="shared" si="54"/>
        <v>1.9999999799999998E-2</v>
      </c>
      <c r="J43" s="2">
        <f t="shared" si="46"/>
        <v>5231553.0964443842</v>
      </c>
      <c r="K43" s="16">
        <f t="shared" si="47"/>
        <v>8.429270574022793E-2</v>
      </c>
      <c r="L43" s="16">
        <f t="shared" si="48"/>
        <v>8.282100825863227E-2</v>
      </c>
      <c r="M43" s="2">
        <f t="shared" si="55"/>
        <v>4082395.541744573</v>
      </c>
      <c r="N43" s="2">
        <f t="shared" si="56"/>
        <v>9313948.6381889582</v>
      </c>
      <c r="O43" s="16">
        <f t="shared" si="49"/>
        <v>3.5606820282029363E-2</v>
      </c>
      <c r="Q43" s="2">
        <f t="shared" si="50"/>
        <v>270891606.07618475</v>
      </c>
    </row>
    <row r="44" spans="1:37" x14ac:dyDescent="0.2">
      <c r="A44" s="250"/>
      <c r="B44" s="14" t="s">
        <v>9</v>
      </c>
      <c r="C44" s="2">
        <f t="shared" si="51"/>
        <v>95486579.098477751</v>
      </c>
      <c r="D44" s="2">
        <f t="shared" si="52"/>
        <v>41167088.629038222</v>
      </c>
      <c r="E44" s="2">
        <f t="shared" si="43"/>
        <v>28557057.759801991</v>
      </c>
      <c r="F44" s="4">
        <f t="shared" si="44"/>
        <v>25762432.709637538</v>
      </c>
      <c r="G44" s="1">
        <f t="shared" si="53"/>
        <v>0.73019839067574011</v>
      </c>
      <c r="H44" s="1">
        <f t="shared" si="45"/>
        <v>0.26980160932425995</v>
      </c>
      <c r="I44" s="29">
        <f t="shared" si="54"/>
        <v>1.9999999799999998E-2</v>
      </c>
      <c r="J44" s="2">
        <f t="shared" si="46"/>
        <v>571141.14948462823</v>
      </c>
      <c r="K44" s="16">
        <f t="shared" si="47"/>
        <v>6.4585678211672798E-2</v>
      </c>
      <c r="L44" s="16">
        <f t="shared" si="48"/>
        <v>9.3344976092337315E-2</v>
      </c>
      <c r="M44" s="2">
        <f t="shared" si="55"/>
        <v>3127960.8653735653</v>
      </c>
      <c r="N44" s="2">
        <f t="shared" si="56"/>
        <v>3699102.0148581937</v>
      </c>
      <c r="O44" s="16">
        <f t="shared" si="49"/>
        <v>0.1295337231857685</v>
      </c>
      <c r="Q44" s="2">
        <f t="shared" si="50"/>
        <v>32256159.774660185</v>
      </c>
    </row>
    <row r="45" spans="1:37" x14ac:dyDescent="0.2">
      <c r="A45" s="250"/>
      <c r="B45" s="14" t="s">
        <v>10</v>
      </c>
      <c r="C45" s="2">
        <f t="shared" si="51"/>
        <v>1280706795.2748537</v>
      </c>
      <c r="D45" s="2">
        <f t="shared" si="52"/>
        <v>849162173.41351497</v>
      </c>
      <c r="E45" s="2">
        <f t="shared" si="43"/>
        <v>315189693.97900605</v>
      </c>
      <c r="F45" s="4">
        <f t="shared" si="44"/>
        <v>116354927.88233268</v>
      </c>
      <c r="G45" s="1">
        <f t="shared" si="53"/>
        <v>0.90914787966174437</v>
      </c>
      <c r="H45" s="1">
        <f t="shared" si="45"/>
        <v>9.0852120338255599E-2</v>
      </c>
      <c r="I45" s="29">
        <f t="shared" si="54"/>
        <v>1.9999999799999998E-2</v>
      </c>
      <c r="J45" s="2">
        <f t="shared" si="46"/>
        <v>6303793.8165421812</v>
      </c>
      <c r="K45" s="16">
        <f t="shared" si="47"/>
        <v>2.1748372160236538E-2</v>
      </c>
      <c r="L45" s="16">
        <f t="shared" si="48"/>
        <v>0.11622099990235461</v>
      </c>
      <c r="M45" s="2">
        <f t="shared" si="55"/>
        <v>1053299.4138397835</v>
      </c>
      <c r="N45" s="2">
        <f t="shared" si="56"/>
        <v>7357093.2303819647</v>
      </c>
      <c r="O45" s="16">
        <f t="shared" si="49"/>
        <v>2.3341795023513686E-2</v>
      </c>
      <c r="Q45" s="2">
        <f t="shared" si="50"/>
        <v>322546787.20938802</v>
      </c>
    </row>
    <row r="46" spans="1:37" x14ac:dyDescent="0.2">
      <c r="A46" s="250"/>
      <c r="B46" s="14" t="s">
        <v>11</v>
      </c>
      <c r="C46" s="2">
        <f t="shared" si="51"/>
        <v>201267722.15226746</v>
      </c>
      <c r="D46" s="2">
        <f t="shared" si="52"/>
        <v>70310245.994490817</v>
      </c>
      <c r="E46" s="2">
        <f t="shared" si="43"/>
        <v>56321252.322658837</v>
      </c>
      <c r="F46" s="4">
        <f t="shared" si="44"/>
        <v>74636223.835117802</v>
      </c>
      <c r="G46" s="1">
        <f t="shared" si="53"/>
        <v>0.6291694314568117</v>
      </c>
      <c r="H46" s="1">
        <f t="shared" si="45"/>
        <v>0.37083056854318835</v>
      </c>
      <c r="I46" s="29">
        <f t="shared" si="54"/>
        <v>1.9999999799999998E-2</v>
      </c>
      <c r="J46" s="2">
        <f t="shared" si="46"/>
        <v>1126425.0351889262</v>
      </c>
      <c r="K46" s="16">
        <f t="shared" si="47"/>
        <v>8.8770203524610625E-2</v>
      </c>
      <c r="L46" s="16">
        <f t="shared" si="48"/>
        <v>8.042993012216286E-2</v>
      </c>
      <c r="M46" s="2">
        <f t="shared" si="55"/>
        <v>4299246.0608092574</v>
      </c>
      <c r="N46" s="2">
        <f t="shared" si="56"/>
        <v>5425671.0959981838</v>
      </c>
      <c r="O46" s="16">
        <f t="shared" si="49"/>
        <v>9.6334347555254191E-2</v>
      </c>
      <c r="Q46" s="2">
        <f t="shared" si="50"/>
        <v>61746923.41865702</v>
      </c>
    </row>
    <row r="47" spans="1:37" x14ac:dyDescent="0.2">
      <c r="A47" s="250"/>
      <c r="B47" s="15" t="s">
        <v>14</v>
      </c>
      <c r="C47" s="30">
        <f>SUM(C35:C46)</f>
        <v>4601087955.4728374</v>
      </c>
      <c r="D47" s="30">
        <f>SUM(D35:D46)</f>
        <v>2018244170.2038558</v>
      </c>
      <c r="E47" s="30">
        <f>SUM(E35:E46)</f>
        <v>1210779594</v>
      </c>
      <c r="F47" s="30">
        <f>SUM(F35:F46)</f>
        <v>1372064191.2689824</v>
      </c>
      <c r="G47" s="1">
        <f>1-H47</f>
        <v>0.70179570472306252</v>
      </c>
      <c r="H47" s="11">
        <f t="shared" si="45"/>
        <v>0.29820429527693743</v>
      </c>
      <c r="J47" s="30">
        <f>SUM(J35:J46)</f>
        <v>24215591.637844075</v>
      </c>
      <c r="M47" s="30">
        <f>SUM(M35:M46)</f>
        <v>48431184.002156019</v>
      </c>
      <c r="N47" s="30">
        <f>SUM(N35:N46)</f>
        <v>72646775.640000105</v>
      </c>
      <c r="O47" s="16">
        <f t="shared" si="49"/>
        <v>6.0000000000000088E-2</v>
      </c>
      <c r="Q47" s="3">
        <f>SUM(Q35:Q46)</f>
        <v>1283426369.6400001</v>
      </c>
    </row>
    <row r="48" spans="1:37" x14ac:dyDescent="0.2">
      <c r="G48" s="21">
        <f>SUM(G35:G46)</f>
        <v>7.822578367296642</v>
      </c>
      <c r="H48" s="21">
        <f>SUM(H35:H46)</f>
        <v>4.1774216327033589</v>
      </c>
      <c r="I48" s="10" t="s">
        <v>30</v>
      </c>
      <c r="J48" s="17">
        <f>C30-SUM(J35:J46)</f>
        <v>48431184.002156034</v>
      </c>
    </row>
    <row r="51" spans="1:17" x14ac:dyDescent="0.2">
      <c r="A51" s="250">
        <v>2</v>
      </c>
      <c r="B51" t="s">
        <v>34</v>
      </c>
      <c r="C51" s="4">
        <f>Q47</f>
        <v>1283426369.6400001</v>
      </c>
    </row>
    <row r="52" spans="1:17" x14ac:dyDescent="0.2">
      <c r="A52" s="250"/>
      <c r="B52" t="s">
        <v>27</v>
      </c>
      <c r="C52" s="6">
        <f>C51*(1+C53)</f>
        <v>1360431951.8184001</v>
      </c>
    </row>
    <row r="53" spans="1:17" x14ac:dyDescent="0.2">
      <c r="A53" s="250"/>
      <c r="B53" t="s">
        <v>28</v>
      </c>
      <c r="C53" s="20">
        <f>C4</f>
        <v>0.06</v>
      </c>
    </row>
    <row r="54" spans="1:17" x14ac:dyDescent="0.2">
      <c r="A54" s="250"/>
      <c r="B54" t="s">
        <v>16</v>
      </c>
      <c r="C54" s="20">
        <f>C5</f>
        <v>0.03</v>
      </c>
    </row>
    <row r="55" spans="1:17" x14ac:dyDescent="0.2">
      <c r="A55" s="250"/>
      <c r="B55" t="s">
        <v>31</v>
      </c>
      <c r="C55" s="6">
        <f>C52-C51</f>
        <v>77005582.17840004</v>
      </c>
    </row>
    <row r="56" spans="1:17" x14ac:dyDescent="0.2">
      <c r="A56" s="250"/>
      <c r="B56" t="s">
        <v>48</v>
      </c>
      <c r="C56" s="20">
        <f>((1+$C$5)^A51)-1</f>
        <v>6.0899999999999954E-2</v>
      </c>
    </row>
    <row r="57" spans="1:17" ht="21" x14ac:dyDescent="0.25">
      <c r="A57" s="250"/>
      <c r="F57" s="6"/>
      <c r="G57" s="6"/>
      <c r="I57" s="251" t="s">
        <v>18</v>
      </c>
      <c r="J57" s="251"/>
      <c r="K57" s="251"/>
      <c r="L57" s="251"/>
      <c r="M57" s="251"/>
      <c r="N57" s="251"/>
      <c r="O57" s="251"/>
    </row>
    <row r="58" spans="1:17" x14ac:dyDescent="0.2">
      <c r="A58" s="250" t="s">
        <v>51</v>
      </c>
      <c r="I58" s="255" t="s">
        <v>19</v>
      </c>
      <c r="J58" s="255"/>
      <c r="K58" s="255"/>
      <c r="L58" s="255"/>
      <c r="M58" s="255"/>
      <c r="N58" s="255"/>
      <c r="O58" s="255"/>
    </row>
    <row r="59" spans="1:17" ht="49" thickBot="1" x14ac:dyDescent="0.25">
      <c r="A59" s="250"/>
      <c r="B59" s="22" t="s">
        <v>12</v>
      </c>
      <c r="C59" s="13" t="s">
        <v>15</v>
      </c>
      <c r="D59" s="13" t="s">
        <v>63</v>
      </c>
      <c r="E59" s="13" t="s">
        <v>29</v>
      </c>
      <c r="F59" s="13" t="s">
        <v>13</v>
      </c>
      <c r="G59" s="13" t="s">
        <v>50</v>
      </c>
      <c r="H59" s="13" t="s">
        <v>17</v>
      </c>
      <c r="I59" s="28" t="s">
        <v>20</v>
      </c>
      <c r="J59" s="28" t="s">
        <v>21</v>
      </c>
      <c r="K59" s="28" t="s">
        <v>22</v>
      </c>
      <c r="L59" s="28" t="s">
        <v>49</v>
      </c>
      <c r="M59" s="28" t="s">
        <v>23</v>
      </c>
      <c r="N59" s="28" t="s">
        <v>24</v>
      </c>
      <c r="O59" s="28" t="s">
        <v>25</v>
      </c>
      <c r="Q59" s="28" t="s">
        <v>32</v>
      </c>
    </row>
    <row r="60" spans="1:17" ht="16" thickTop="1" x14ac:dyDescent="0.2">
      <c r="A60" s="250"/>
      <c r="B60" s="14" t="s">
        <v>0</v>
      </c>
      <c r="C60" s="2">
        <f>VLOOKUP($B60,$B$9:$O$22,2,FALSE)*(1+$C$56)</f>
        <v>78571333.578405619</v>
      </c>
      <c r="D60" s="2">
        <f>VLOOKUP($B60,$B$9:$O$22,3,FALSE)*(1+$C$56)</f>
        <v>15441307.657265536</v>
      </c>
      <c r="E60" s="2">
        <f t="shared" ref="E60:E71" si="57">Q35</f>
        <v>46724697.812603205</v>
      </c>
      <c r="F60" s="4">
        <f t="shared" ref="F60:F71" si="58">C60-E60-D60</f>
        <v>16405328.108536877</v>
      </c>
      <c r="G60" s="1">
        <f>1-H60</f>
        <v>0.79120466254825428</v>
      </c>
      <c r="H60" s="1">
        <f t="shared" ref="H60:H72" si="59">MAX(0,F60/C60)</f>
        <v>0.20879533745174567</v>
      </c>
      <c r="I60" s="29">
        <f>MIN($C$5,($C$4*0.5))*$C$8</f>
        <v>1.9999999799999998E-2</v>
      </c>
      <c r="J60" s="2">
        <f t="shared" ref="J60:J71" si="60">I60*E60</f>
        <v>934493.94690712448</v>
      </c>
      <c r="K60" s="16">
        <f t="shared" ref="K60:K71" si="61">H60/$H$73</f>
        <v>5.2606244371189916E-2</v>
      </c>
      <c r="L60" s="16">
        <f t="shared" ref="L60:L71" si="62">G60/$G$73</f>
        <v>9.8519091378575896E-2</v>
      </c>
      <c r="M60" s="2">
        <f>$J$73*IF($J$73&lt;0,L60,K60)</f>
        <v>2700649.6628516885</v>
      </c>
      <c r="N60" s="2">
        <f>J60+M60</f>
        <v>3635143.6097588129</v>
      </c>
      <c r="O60" s="16">
        <f t="shared" ref="O60:O72" si="63">N60/E60</f>
        <v>7.7799189292526438E-2</v>
      </c>
      <c r="Q60" s="2">
        <f t="shared" ref="Q60:Q71" si="64">N60+E60</f>
        <v>50359841.422362015</v>
      </c>
    </row>
    <row r="61" spans="1:17" x14ac:dyDescent="0.2">
      <c r="A61" s="250"/>
      <c r="B61" s="14" t="s">
        <v>1</v>
      </c>
      <c r="C61" s="2">
        <f t="shared" ref="C61:C71" si="65">VLOOKUP($B61,$B$9:$O$22,2,FALSE)*(1+$C$56)</f>
        <v>175012877.01990789</v>
      </c>
      <c r="D61" s="2">
        <f t="shared" ref="D61:D71" si="66">VLOOKUP($B61,$B$9:$O$22,3,FALSE)*(1+$C$56)</f>
        <v>58596964.427899301</v>
      </c>
      <c r="E61" s="2">
        <f t="shared" si="57"/>
        <v>53447675.702371672</v>
      </c>
      <c r="F61" s="4">
        <f t="shared" si="58"/>
        <v>62968236.889636919</v>
      </c>
      <c r="G61" s="1">
        <f t="shared" ref="G61:G71" si="67">1-H61</f>
        <v>0.64020797805367069</v>
      </c>
      <c r="H61" s="1">
        <f t="shared" si="59"/>
        <v>0.35979202194632925</v>
      </c>
      <c r="I61" s="29">
        <f t="shared" ref="I61:I71" si="68">MIN($C$5,($C$4*0.5))*$C$8</f>
        <v>1.9999999799999998E-2</v>
      </c>
      <c r="J61" s="2">
        <f t="shared" si="60"/>
        <v>1068953.5033578982</v>
      </c>
      <c r="K61" s="16">
        <f t="shared" si="61"/>
        <v>9.0650046405789025E-2</v>
      </c>
      <c r="L61" s="16">
        <f t="shared" si="62"/>
        <v>7.9717311179667363E-2</v>
      </c>
      <c r="M61" s="2">
        <f t="shared" ref="M61:M71" si="69">$J$73*IF($J$73&lt;0,L61,K61)</f>
        <v>4653706.4219197091</v>
      </c>
      <c r="N61" s="2">
        <f t="shared" ref="N61:N71" si="70">J61+M61</f>
        <v>5722659.9252776075</v>
      </c>
      <c r="O61" s="16">
        <f t="shared" si="63"/>
        <v>0.1070703234532549</v>
      </c>
      <c r="Q61" s="2">
        <f t="shared" si="64"/>
        <v>59170335.627649277</v>
      </c>
    </row>
    <row r="62" spans="1:17" x14ac:dyDescent="0.2">
      <c r="A62" s="250"/>
      <c r="B62" s="14" t="s">
        <v>2</v>
      </c>
      <c r="C62" s="2">
        <f t="shared" si="65"/>
        <v>118662129.50356041</v>
      </c>
      <c r="D62" s="2">
        <f t="shared" si="66"/>
        <v>29968501.293171458</v>
      </c>
      <c r="E62" s="2">
        <f t="shared" si="57"/>
        <v>36246063.0285732</v>
      </c>
      <c r="F62" s="4">
        <f t="shared" si="58"/>
        <v>52447565.181815751</v>
      </c>
      <c r="G62" s="1">
        <f t="shared" si="67"/>
        <v>0.55800923680337222</v>
      </c>
      <c r="H62" s="1">
        <f t="shared" si="59"/>
        <v>0.44199076319662783</v>
      </c>
      <c r="I62" s="29">
        <f t="shared" si="68"/>
        <v>1.9999999799999998E-2</v>
      </c>
      <c r="J62" s="2">
        <f t="shared" si="60"/>
        <v>724921.25332225126</v>
      </c>
      <c r="K62" s="16">
        <f t="shared" si="61"/>
        <v>0.11136012126661664</v>
      </c>
      <c r="L62" s="16">
        <f t="shared" si="62"/>
        <v>6.9482101904787527E-2</v>
      </c>
      <c r="M62" s="2">
        <f t="shared" si="69"/>
        <v>5716900.6749798646</v>
      </c>
      <c r="N62" s="2">
        <f t="shared" si="70"/>
        <v>6441821.9283021158</v>
      </c>
      <c r="O62" s="16">
        <f t="shared" si="63"/>
        <v>0.17772473449665283</v>
      </c>
      <c r="Q62" s="2">
        <f t="shared" si="64"/>
        <v>42687884.956875317</v>
      </c>
    </row>
    <row r="63" spans="1:17" x14ac:dyDescent="0.2">
      <c r="A63" s="250"/>
      <c r="B63" s="14" t="s">
        <v>3</v>
      </c>
      <c r="C63" s="2">
        <f t="shared" si="65"/>
        <v>506894761.0456152</v>
      </c>
      <c r="D63" s="2">
        <f t="shared" si="66"/>
        <v>181870638.39211482</v>
      </c>
      <c r="E63" s="2">
        <f t="shared" si="57"/>
        <v>85670281.896779418</v>
      </c>
      <c r="F63" s="4">
        <f t="shared" si="58"/>
        <v>239353840.75672096</v>
      </c>
      <c r="G63" s="1">
        <f t="shared" si="67"/>
        <v>0.52780368007160838</v>
      </c>
      <c r="H63" s="1">
        <f t="shared" si="59"/>
        <v>0.47219631992839167</v>
      </c>
      <c r="I63" s="29">
        <f t="shared" si="68"/>
        <v>1.9999999799999998E-2</v>
      </c>
      <c r="J63" s="2">
        <f t="shared" si="60"/>
        <v>1713405.6208015317</v>
      </c>
      <c r="K63" s="16">
        <f t="shared" si="61"/>
        <v>0.11897044876814065</v>
      </c>
      <c r="L63" s="16">
        <f t="shared" si="62"/>
        <v>6.5720971384887542E-2</v>
      </c>
      <c r="M63" s="2">
        <f t="shared" si="69"/>
        <v>6107592.4768154211</v>
      </c>
      <c r="N63" s="2">
        <f t="shared" si="70"/>
        <v>7820998.0976169528</v>
      </c>
      <c r="O63" s="16">
        <f t="shared" si="63"/>
        <v>9.1291845018557902E-2</v>
      </c>
      <c r="Q63" s="2">
        <f t="shared" si="64"/>
        <v>93491279.994396374</v>
      </c>
    </row>
    <row r="64" spans="1:17" x14ac:dyDescent="0.2">
      <c r="A64" s="250"/>
      <c r="B64" s="14" t="s">
        <v>4</v>
      </c>
      <c r="C64" s="2">
        <f>VLOOKUP($B64,$B$9:$O$22,2,FALSE)*(1+$C$56)</f>
        <v>174229125.43011662</v>
      </c>
      <c r="D64" s="2">
        <f t="shared" si="66"/>
        <v>32870694.152320586</v>
      </c>
      <c r="E64" s="2">
        <f t="shared" si="57"/>
        <v>50896936.496768266</v>
      </c>
      <c r="F64" s="4">
        <f t="shared" si="58"/>
        <v>90461494.781027764</v>
      </c>
      <c r="G64" s="1">
        <f t="shared" si="67"/>
        <v>0.48079005414446674</v>
      </c>
      <c r="H64" s="1">
        <f t="shared" si="59"/>
        <v>0.51920994585553326</v>
      </c>
      <c r="I64" s="29">
        <f t="shared" si="68"/>
        <v>1.9999999799999998E-2</v>
      </c>
      <c r="J64" s="2">
        <f t="shared" si="60"/>
        <v>1017938.7197559779</v>
      </c>
      <c r="K64" s="16">
        <f t="shared" si="61"/>
        <v>0.13081559016106328</v>
      </c>
      <c r="L64" s="16">
        <f t="shared" si="62"/>
        <v>5.9866936483428952E-2</v>
      </c>
      <c r="M64" s="2">
        <f t="shared" si="69"/>
        <v>6715687.1524875425</v>
      </c>
      <c r="N64" s="2">
        <f t="shared" si="70"/>
        <v>7733625.8722435199</v>
      </c>
      <c r="O64" s="16">
        <f t="shared" si="63"/>
        <v>0.15194678510237195</v>
      </c>
      <c r="Q64" s="2">
        <f t="shared" si="64"/>
        <v>58630562.36901179</v>
      </c>
    </row>
    <row r="65" spans="1:17" x14ac:dyDescent="0.2">
      <c r="A65" s="250"/>
      <c r="B65" s="14" t="s">
        <v>5</v>
      </c>
      <c r="C65" s="2">
        <f t="shared" si="65"/>
        <v>432807552.14476663</v>
      </c>
      <c r="D65" s="2">
        <f t="shared" si="66"/>
        <v>137342887.35583028</v>
      </c>
      <c r="E65" s="2">
        <f t="shared" si="57"/>
        <v>104541903.7092146</v>
      </c>
      <c r="F65" s="4">
        <f t="shared" si="58"/>
        <v>190922761.07972172</v>
      </c>
      <c r="G65" s="1">
        <f t="shared" si="67"/>
        <v>0.55887377626936285</v>
      </c>
      <c r="H65" s="1">
        <f t="shared" si="59"/>
        <v>0.44112622373063715</v>
      </c>
      <c r="I65" s="29">
        <f t="shared" si="68"/>
        <v>1.9999999799999998E-2</v>
      </c>
      <c r="J65" s="2">
        <f t="shared" si="60"/>
        <v>2090838.0532759109</v>
      </c>
      <c r="K65" s="16">
        <f t="shared" si="61"/>
        <v>0.11114229947532805</v>
      </c>
      <c r="L65" s="16">
        <f t="shared" si="62"/>
        <v>6.9589752487098297E-2</v>
      </c>
      <c r="M65" s="2">
        <f t="shared" si="69"/>
        <v>5705718.3456910737</v>
      </c>
      <c r="N65" s="2">
        <f t="shared" si="70"/>
        <v>7796556.3989669848</v>
      </c>
      <c r="O65" s="16">
        <f t="shared" si="63"/>
        <v>7.4578289875543713E-2</v>
      </c>
      <c r="Q65" s="2">
        <f t="shared" si="64"/>
        <v>112338460.10818158</v>
      </c>
    </row>
    <row r="66" spans="1:17" x14ac:dyDescent="0.2">
      <c r="A66" s="250"/>
      <c r="B66" s="14" t="s">
        <v>6</v>
      </c>
      <c r="C66" s="2">
        <f t="shared" si="65"/>
        <v>313342479.86482418</v>
      </c>
      <c r="D66" s="2">
        <f t="shared" si="66"/>
        <v>136793926.60332507</v>
      </c>
      <c r="E66" s="2">
        <f t="shared" si="57"/>
        <v>143464460.81390843</v>
      </c>
      <c r="F66" s="4">
        <f t="shared" si="58"/>
        <v>33084092.447590679</v>
      </c>
      <c r="G66" s="1">
        <f t="shared" si="67"/>
        <v>0.89441555303365461</v>
      </c>
      <c r="H66" s="1">
        <f t="shared" si="59"/>
        <v>0.1055844469663454</v>
      </c>
      <c r="I66" s="29">
        <f t="shared" si="68"/>
        <v>1.9999999799999998E-2</v>
      </c>
      <c r="J66" s="2">
        <f t="shared" si="60"/>
        <v>2869289.1875852761</v>
      </c>
      <c r="K66" s="16">
        <f t="shared" si="61"/>
        <v>2.6602132435989748E-2</v>
      </c>
      <c r="L66" s="16">
        <f t="shared" si="62"/>
        <v>0.11137068797843189</v>
      </c>
      <c r="M66" s="2">
        <f t="shared" si="69"/>
        <v>1365675.137108569</v>
      </c>
      <c r="N66" s="2">
        <f t="shared" si="70"/>
        <v>4234964.3246938456</v>
      </c>
      <c r="O66" s="16">
        <f t="shared" si="63"/>
        <v>2.9519257247877791E-2</v>
      </c>
      <c r="Q66" s="2">
        <f t="shared" si="64"/>
        <v>147699425.13860229</v>
      </c>
    </row>
    <row r="67" spans="1:17" x14ac:dyDescent="0.2">
      <c r="A67" s="250"/>
      <c r="B67" s="14" t="s">
        <v>7</v>
      </c>
      <c r="C67" s="2">
        <f t="shared" si="65"/>
        <v>348879388.35748911</v>
      </c>
      <c r="D67" s="2">
        <f t="shared" si="66"/>
        <v>140068204.2980656</v>
      </c>
      <c r="E67" s="2">
        <f t="shared" si="57"/>
        <v>74992873.700891316</v>
      </c>
      <c r="F67" s="4">
        <f t="shared" si="58"/>
        <v>133818310.35853219</v>
      </c>
      <c r="G67" s="1">
        <f t="shared" si="67"/>
        <v>0.61643388854657277</v>
      </c>
      <c r="H67" s="1">
        <f t="shared" si="59"/>
        <v>0.38356611145342723</v>
      </c>
      <c r="I67" s="29">
        <f t="shared" si="68"/>
        <v>1.9999999799999998E-2</v>
      </c>
      <c r="J67" s="2">
        <f t="shared" si="60"/>
        <v>1499857.4590192514</v>
      </c>
      <c r="K67" s="16">
        <f t="shared" si="61"/>
        <v>9.6639957759063269E-2</v>
      </c>
      <c r="L67" s="16">
        <f t="shared" si="62"/>
        <v>7.6757013032474161E-2</v>
      </c>
      <c r="M67" s="2">
        <f t="shared" si="69"/>
        <v>4961210.8307611579</v>
      </c>
      <c r="N67" s="2">
        <f t="shared" si="70"/>
        <v>6461068.2897804091</v>
      </c>
      <c r="O67" s="16">
        <f t="shared" si="63"/>
        <v>8.6155763486946049E-2</v>
      </c>
      <c r="Q67" s="2">
        <f t="shared" si="64"/>
        <v>81453941.990671724</v>
      </c>
    </row>
    <row r="68" spans="1:17" x14ac:dyDescent="0.2">
      <c r="A68" s="250"/>
      <c r="B68" s="14" t="s">
        <v>8</v>
      </c>
      <c r="C68" s="2">
        <f t="shared" si="65"/>
        <v>965936017.77097023</v>
      </c>
      <c r="D68" s="2">
        <f t="shared" si="66"/>
        <v>356379677.85182327</v>
      </c>
      <c r="E68" s="2">
        <f t="shared" si="57"/>
        <v>270891606.07618475</v>
      </c>
      <c r="F68" s="4">
        <f t="shared" si="58"/>
        <v>338664733.84296221</v>
      </c>
      <c r="G68" s="1">
        <f t="shared" si="67"/>
        <v>0.64939216717016368</v>
      </c>
      <c r="H68" s="1">
        <f t="shared" si="59"/>
        <v>0.35060783282983637</v>
      </c>
      <c r="I68" s="29">
        <f t="shared" si="68"/>
        <v>1.9999999799999998E-2</v>
      </c>
      <c r="J68" s="2">
        <f t="shared" si="60"/>
        <v>5417832.0673453733</v>
      </c>
      <c r="K68" s="16">
        <f t="shared" si="61"/>
        <v>8.8336078560960554E-2</v>
      </c>
      <c r="L68" s="16">
        <f t="shared" si="62"/>
        <v>8.0860906521853196E-2</v>
      </c>
      <c r="M68" s="2">
        <f t="shared" si="69"/>
        <v>4534914.1273036711</v>
      </c>
      <c r="N68" s="2">
        <f t="shared" si="70"/>
        <v>9952746.1946490444</v>
      </c>
      <c r="O68" s="16">
        <f t="shared" si="63"/>
        <v>3.674069617295548E-2</v>
      </c>
      <c r="Q68" s="2">
        <f t="shared" si="64"/>
        <v>280844352.27083379</v>
      </c>
    </row>
    <row r="69" spans="1:17" x14ac:dyDescent="0.2">
      <c r="A69" s="250"/>
      <c r="B69" s="14" t="s">
        <v>9</v>
      </c>
      <c r="C69" s="2">
        <f t="shared" si="65"/>
        <v>98351176.471432075</v>
      </c>
      <c r="D69" s="2">
        <f t="shared" si="66"/>
        <v>42402101.287909366</v>
      </c>
      <c r="E69" s="2">
        <f t="shared" si="57"/>
        <v>32256159.774660185</v>
      </c>
      <c r="F69" s="4">
        <f t="shared" si="58"/>
        <v>23692915.408862524</v>
      </c>
      <c r="G69" s="1">
        <f t="shared" si="67"/>
        <v>0.75909881041692906</v>
      </c>
      <c r="H69" s="1">
        <f t="shared" si="59"/>
        <v>0.24090118958307094</v>
      </c>
      <c r="I69" s="29">
        <f t="shared" si="68"/>
        <v>1.9999999799999998E-2</v>
      </c>
      <c r="J69" s="2">
        <f t="shared" si="60"/>
        <v>645123.18904197169</v>
      </c>
      <c r="K69" s="16">
        <f t="shared" si="61"/>
        <v>6.069535365676542E-2</v>
      </c>
      <c r="L69" s="16">
        <f t="shared" si="62"/>
        <v>9.452134019024773E-2</v>
      </c>
      <c r="M69" s="2">
        <f t="shared" si="69"/>
        <v>3115920.7114883391</v>
      </c>
      <c r="N69" s="2">
        <f>J69+M69</f>
        <v>3761043.9005303108</v>
      </c>
      <c r="O69" s="16">
        <f t="shared" si="63"/>
        <v>0.11659924575041676</v>
      </c>
      <c r="Q69" s="2">
        <f t="shared" si="64"/>
        <v>36017203.675190493</v>
      </c>
    </row>
    <row r="70" spans="1:17" x14ac:dyDescent="0.2">
      <c r="A70" s="250"/>
      <c r="B70" s="14" t="s">
        <v>10</v>
      </c>
      <c r="C70" s="2">
        <f t="shared" si="65"/>
        <v>1319127999.1330993</v>
      </c>
      <c r="D70" s="2">
        <f t="shared" si="66"/>
        <v>874637038.61592042</v>
      </c>
      <c r="E70" s="2">
        <f t="shared" si="57"/>
        <v>322546787.20938802</v>
      </c>
      <c r="F70" s="4">
        <f t="shared" si="58"/>
        <v>121944173.30779088</v>
      </c>
      <c r="G70" s="1">
        <f t="shared" si="67"/>
        <v>0.90755698204576829</v>
      </c>
      <c r="H70" s="1">
        <f t="shared" si="59"/>
        <v>9.2443017954231724E-2</v>
      </c>
      <c r="I70" s="29">
        <f t="shared" si="68"/>
        <v>1.9999999799999998E-2</v>
      </c>
      <c r="J70" s="2">
        <f t="shared" si="60"/>
        <v>6450935.6796784019</v>
      </c>
      <c r="K70" s="16">
        <f t="shared" si="61"/>
        <v>2.329113308880525E-2</v>
      </c>
      <c r="L70" s="16">
        <f t="shared" si="62"/>
        <v>0.11300703026377647</v>
      </c>
      <c r="M70" s="2">
        <f t="shared" si="69"/>
        <v>1195698.1813771878</v>
      </c>
      <c r="N70" s="2">
        <f t="shared" si="70"/>
        <v>7646633.8610555902</v>
      </c>
      <c r="O70" s="16">
        <f t="shared" si="63"/>
        <v>2.3707053253305597E-2</v>
      </c>
      <c r="Q70" s="2">
        <f t="shared" si="64"/>
        <v>330193421.07044363</v>
      </c>
    </row>
    <row r="71" spans="1:17" x14ac:dyDescent="0.2">
      <c r="A71" s="250"/>
      <c r="B71" s="14" t="s">
        <v>11</v>
      </c>
      <c r="C71" s="2">
        <f t="shared" si="65"/>
        <v>207305753.81683546</v>
      </c>
      <c r="D71" s="2">
        <f t="shared" si="66"/>
        <v>72419553.374325529</v>
      </c>
      <c r="E71" s="2">
        <f t="shared" si="57"/>
        <v>61746923.41865702</v>
      </c>
      <c r="F71" s="4">
        <f t="shared" si="58"/>
        <v>73139277.023852929</v>
      </c>
      <c r="G71" s="1">
        <f t="shared" si="67"/>
        <v>0.64719128303368278</v>
      </c>
      <c r="H71" s="1">
        <f t="shared" si="59"/>
        <v>0.35280871696631716</v>
      </c>
      <c r="I71" s="29">
        <f t="shared" si="68"/>
        <v>1.9999999799999998E-2</v>
      </c>
      <c r="J71" s="2">
        <f t="shared" si="60"/>
        <v>1234938.4560237555</v>
      </c>
      <c r="K71" s="16">
        <f t="shared" si="61"/>
        <v>8.8890594050288194E-2</v>
      </c>
      <c r="L71" s="16">
        <f t="shared" si="62"/>
        <v>8.058685719477103E-2</v>
      </c>
      <c r="M71" s="2">
        <f t="shared" si="69"/>
        <v>4563381.3195010843</v>
      </c>
      <c r="N71" s="2">
        <f t="shared" si="70"/>
        <v>5798319.7755248398</v>
      </c>
      <c r="O71" s="16">
        <f t="shared" si="63"/>
        <v>9.3904594018571944E-2</v>
      </c>
      <c r="Q71" s="2">
        <f t="shared" si="64"/>
        <v>67545243.194181859</v>
      </c>
    </row>
    <row r="72" spans="1:17" x14ac:dyDescent="0.2">
      <c r="A72" s="250"/>
      <c r="B72" s="15" t="s">
        <v>14</v>
      </c>
      <c r="C72" s="30">
        <f>SUM(C60:C71)</f>
        <v>4739120594.137023</v>
      </c>
      <c r="D72" s="30">
        <f>SUM(D60:D71)</f>
        <v>2078791495.3099711</v>
      </c>
      <c r="E72" s="30">
        <f>SUM(E60:E71)</f>
        <v>1283426369.6400001</v>
      </c>
      <c r="F72" s="30">
        <f>SUM(F60:F71)</f>
        <v>1376902729.1870513</v>
      </c>
      <c r="G72" s="1">
        <f>1-H72</f>
        <v>0.70946028871042466</v>
      </c>
      <c r="H72" s="11">
        <f t="shared" si="59"/>
        <v>0.29053971128957534</v>
      </c>
      <c r="J72" s="30">
        <f>SUM(J60:J71)</f>
        <v>25668527.136114728</v>
      </c>
      <c r="M72" s="30">
        <f>SUM(M60:M71)</f>
        <v>51337055.042285308</v>
      </c>
      <c r="N72" s="30">
        <f>SUM(N60:N71)</f>
        <v>77005582.178400025</v>
      </c>
      <c r="O72" s="16">
        <f t="shared" si="63"/>
        <v>6.0000000000000012E-2</v>
      </c>
      <c r="Q72" s="3">
        <f>SUM(Q60:Q71)</f>
        <v>1360431951.8184001</v>
      </c>
    </row>
    <row r="73" spans="1:17" x14ac:dyDescent="0.2">
      <c r="C73" s="30"/>
      <c r="D73" s="30"/>
      <c r="E73" s="30"/>
      <c r="F73" s="30"/>
      <c r="G73" s="21">
        <f>SUM(G60:G71)</f>
        <v>8.0309780721375059</v>
      </c>
      <c r="H73" s="21">
        <f>SUM(H60:H71)</f>
        <v>3.9690219278624936</v>
      </c>
      <c r="I73" s="10" t="s">
        <v>30</v>
      </c>
      <c r="J73" s="17">
        <f>C55-SUM(J60:J71)</f>
        <v>51337055.042285308</v>
      </c>
    </row>
    <row r="76" spans="1:17" x14ac:dyDescent="0.2">
      <c r="A76" s="250">
        <v>3</v>
      </c>
      <c r="B76" t="s">
        <v>34</v>
      </c>
      <c r="C76" s="4">
        <f>Q72</f>
        <v>1360431951.8184001</v>
      </c>
      <c r="D76" s="4"/>
    </row>
    <row r="77" spans="1:17" x14ac:dyDescent="0.2">
      <c r="A77" s="250"/>
      <c r="B77" t="s">
        <v>27</v>
      </c>
      <c r="C77" s="6">
        <f>C76*(1+C78)</f>
        <v>1442057868.9275043</v>
      </c>
      <c r="D77" s="6"/>
    </row>
    <row r="78" spans="1:17" x14ac:dyDescent="0.2">
      <c r="A78" s="250"/>
      <c r="B78" t="s">
        <v>28</v>
      </c>
      <c r="C78" s="20">
        <f>C4</f>
        <v>0.06</v>
      </c>
      <c r="D78" s="20"/>
    </row>
    <row r="79" spans="1:17" x14ac:dyDescent="0.2">
      <c r="A79" s="250"/>
      <c r="B79" t="s">
        <v>16</v>
      </c>
      <c r="C79" s="20">
        <f>C5</f>
        <v>0.03</v>
      </c>
      <c r="D79" s="20"/>
    </row>
    <row r="80" spans="1:17" x14ac:dyDescent="0.2">
      <c r="A80" s="250"/>
      <c r="B80" t="s">
        <v>31</v>
      </c>
      <c r="C80" s="6">
        <f>C77-C76</f>
        <v>81625917.109104156</v>
      </c>
      <c r="D80" s="6"/>
    </row>
    <row r="81" spans="1:17" x14ac:dyDescent="0.2">
      <c r="A81" s="250"/>
      <c r="B81" t="s">
        <v>48</v>
      </c>
      <c r="C81" s="20">
        <f>((1+$C$5)^A76)-1</f>
        <v>9.2727000000000004E-2</v>
      </c>
      <c r="D81" s="20"/>
      <c r="F81" s="35"/>
    </row>
    <row r="82" spans="1:17" ht="21" x14ac:dyDescent="0.25">
      <c r="A82" s="250"/>
      <c r="F82" s="6"/>
      <c r="G82" s="6"/>
      <c r="I82" s="251" t="s">
        <v>18</v>
      </c>
      <c r="J82" s="251"/>
      <c r="K82" s="251"/>
      <c r="L82" s="251"/>
      <c r="M82" s="251"/>
      <c r="N82" s="251"/>
      <c r="O82" s="251"/>
    </row>
    <row r="83" spans="1:17" x14ac:dyDescent="0.2">
      <c r="A83" s="250" t="s">
        <v>51</v>
      </c>
      <c r="C83" s="9"/>
      <c r="I83" s="255" t="s">
        <v>19</v>
      </c>
      <c r="J83" s="255"/>
      <c r="K83" s="255"/>
      <c r="L83" s="255"/>
      <c r="M83" s="255"/>
      <c r="N83" s="255"/>
      <c r="O83" s="255"/>
    </row>
    <row r="84" spans="1:17" ht="49" thickBot="1" x14ac:dyDescent="0.25">
      <c r="A84" s="250"/>
      <c r="B84" s="22" t="s">
        <v>12</v>
      </c>
      <c r="C84" s="13" t="s">
        <v>15</v>
      </c>
      <c r="D84" s="13" t="s">
        <v>63</v>
      </c>
      <c r="E84" s="13" t="s">
        <v>29</v>
      </c>
      <c r="F84" s="13" t="s">
        <v>13</v>
      </c>
      <c r="G84" s="13" t="s">
        <v>50</v>
      </c>
      <c r="H84" s="13" t="s">
        <v>17</v>
      </c>
      <c r="I84" s="28" t="s">
        <v>20</v>
      </c>
      <c r="J84" s="28" t="s">
        <v>21</v>
      </c>
      <c r="K84" s="28" t="s">
        <v>22</v>
      </c>
      <c r="L84" s="28" t="s">
        <v>49</v>
      </c>
      <c r="M84" s="28" t="s">
        <v>23</v>
      </c>
      <c r="N84" s="28" t="s">
        <v>24</v>
      </c>
      <c r="O84" s="28" t="s">
        <v>25</v>
      </c>
      <c r="Q84" s="28" t="s">
        <v>32</v>
      </c>
    </row>
    <row r="85" spans="1:17" ht="16" thickTop="1" x14ac:dyDescent="0.2">
      <c r="A85" s="250"/>
      <c r="B85" s="14" t="s">
        <v>0</v>
      </c>
      <c r="C85" s="2">
        <f>VLOOKUP($B85,$B$9:$O$22,2,FALSE)*(1+$C$81)</f>
        <v>80928473.585757792</v>
      </c>
      <c r="D85" s="2">
        <f>VLOOKUP($B85,$B$9:$O$22,3,FALSE)*(1+$C$81)</f>
        <v>15904546.886983503</v>
      </c>
      <c r="E85" s="2">
        <f t="shared" ref="E85:E96" si="71">Q60</f>
        <v>50359841.422362015</v>
      </c>
      <c r="F85" s="4">
        <f t="shared" ref="F85:F96" si="72">C85-E85-D85</f>
        <v>14664085.276412275</v>
      </c>
      <c r="G85" s="1">
        <f>1-H85</f>
        <v>0.8188019046118159</v>
      </c>
      <c r="H85" s="1">
        <f t="shared" ref="H85:H97" si="73">MAX(0,F85/C85)</f>
        <v>0.18119809538818407</v>
      </c>
      <c r="I85" s="29">
        <f>MIN($C$5,($C$4*0.5))*$C$8</f>
        <v>1.9999999799999998E-2</v>
      </c>
      <c r="J85" s="2">
        <f t="shared" ref="J85:J96" si="74">I85*E85</f>
        <v>1007196.8183752719</v>
      </c>
      <c r="K85" s="16">
        <f t="shared" ref="K85:K96" si="75">H85/$H$98</f>
        <v>4.8168367774732594E-2</v>
      </c>
      <c r="L85" s="16">
        <f t="shared" ref="L85:L96" si="76">G85/$G$98</f>
        <v>9.9390456373164585E-2</v>
      </c>
      <c r="M85" s="2">
        <f>$J$98*IF($J$98&lt;0,L85,K85)</f>
        <v>2621191.4766134042</v>
      </c>
      <c r="N85" s="2">
        <f>J85+M85</f>
        <v>3628388.294988676</v>
      </c>
      <c r="O85" s="16">
        <f t="shared" ref="O85:O97" si="77">N85/E85</f>
        <v>7.2049239880598789E-2</v>
      </c>
      <c r="Q85" s="2">
        <f t="shared" ref="Q85:Q96" si="78">N85+E85</f>
        <v>53988229.717350692</v>
      </c>
    </row>
    <row r="86" spans="1:17" x14ac:dyDescent="0.2">
      <c r="A86" s="250"/>
      <c r="B86" s="14" t="s">
        <v>1</v>
      </c>
      <c r="C86" s="2">
        <f t="shared" ref="C86:C96" si="79">VLOOKUP($B86,$B$9:$O$22,2,FALSE)*(1+$C$81)</f>
        <v>180263263.33050513</v>
      </c>
      <c r="D86" s="2">
        <f t="shared" ref="D86:D96" si="80">VLOOKUP($B86,$B$9:$O$22,3,FALSE)*(1+$C$81)</f>
        <v>60354873.360736288</v>
      </c>
      <c r="E86" s="2">
        <f t="shared" si="71"/>
        <v>59170335.627649277</v>
      </c>
      <c r="F86" s="4">
        <f t="shared" si="72"/>
        <v>60738054.342119567</v>
      </c>
      <c r="G86" s="1">
        <f t="shared" ref="G86:G96" si="81">1-H86</f>
        <v>0.66305916568946777</v>
      </c>
      <c r="H86" s="1">
        <f t="shared" si="73"/>
        <v>0.33694083431053223</v>
      </c>
      <c r="I86" s="29">
        <f t="shared" ref="I86:I96" si="82">MIN($C$5,($C$4*0.5))*$C$8</f>
        <v>1.9999999799999998E-2</v>
      </c>
      <c r="J86" s="2">
        <f t="shared" si="74"/>
        <v>1183406.7007189183</v>
      </c>
      <c r="K86" s="16">
        <f t="shared" si="75"/>
        <v>8.9569870978088148E-2</v>
      </c>
      <c r="L86" s="16">
        <f t="shared" si="76"/>
        <v>8.0485588405573114E-2</v>
      </c>
      <c r="M86" s="2">
        <f t="shared" ref="M86:M96" si="83">$J$98*IF($J$98&lt;0,L86,K86)</f>
        <v>4874148.6003244659</v>
      </c>
      <c r="N86" s="2">
        <f>J86+M86</f>
        <v>6057555.3010433838</v>
      </c>
      <c r="O86" s="16">
        <f t="shared" si="77"/>
        <v>0.10237486802783645</v>
      </c>
      <c r="Q86" s="2">
        <f t="shared" si="78"/>
        <v>65227890.928692661</v>
      </c>
    </row>
    <row r="87" spans="1:17" x14ac:dyDescent="0.2">
      <c r="A87" s="250"/>
      <c r="B87" s="14" t="s">
        <v>2</v>
      </c>
      <c r="C87" s="2">
        <f t="shared" si="79"/>
        <v>122221993.38866723</v>
      </c>
      <c r="D87" s="2">
        <f t="shared" si="80"/>
        <v>30867556.331966605</v>
      </c>
      <c r="E87" s="2">
        <f t="shared" si="71"/>
        <v>42687884.956875317</v>
      </c>
      <c r="F87" s="4">
        <f t="shared" si="72"/>
        <v>48666552.099825293</v>
      </c>
      <c r="G87" s="1">
        <f t="shared" si="81"/>
        <v>0.60181837367792601</v>
      </c>
      <c r="H87" s="1">
        <f t="shared" si="73"/>
        <v>0.39818162632207399</v>
      </c>
      <c r="I87" s="29">
        <f t="shared" si="82"/>
        <v>1.9999999799999998E-2</v>
      </c>
      <c r="J87" s="2">
        <f t="shared" si="74"/>
        <v>853757.69059992919</v>
      </c>
      <c r="K87" s="16">
        <f t="shared" si="75"/>
        <v>0.10584967229778905</v>
      </c>
      <c r="L87" s="16">
        <f t="shared" si="76"/>
        <v>7.305186086732704E-2</v>
      </c>
      <c r="M87" s="2">
        <f t="shared" si="83"/>
        <v>5760051.0801370395</v>
      </c>
      <c r="N87" s="2">
        <f t="shared" ref="N87:N93" si="84">J87+M87</f>
        <v>6613808.7707369691</v>
      </c>
      <c r="O87" s="16">
        <f t="shared" si="77"/>
        <v>0.15493409376965978</v>
      </c>
      <c r="Q87" s="2">
        <f t="shared" si="78"/>
        <v>49301693.727612287</v>
      </c>
    </row>
    <row r="88" spans="1:17" x14ac:dyDescent="0.2">
      <c r="A88" s="250"/>
      <c r="B88" s="14" t="s">
        <v>3</v>
      </c>
      <c r="C88" s="2">
        <f t="shared" si="79"/>
        <v>522101603.8769837</v>
      </c>
      <c r="D88" s="2">
        <f t="shared" si="80"/>
        <v>187326757.54387826</v>
      </c>
      <c r="E88" s="2">
        <f t="shared" si="71"/>
        <v>93491279.994396374</v>
      </c>
      <c r="F88" s="4">
        <f t="shared" si="72"/>
        <v>241283566.33870906</v>
      </c>
      <c r="G88" s="1">
        <f t="shared" si="81"/>
        <v>0.53786089805700021</v>
      </c>
      <c r="H88" s="1">
        <f t="shared" si="73"/>
        <v>0.46213910194299979</v>
      </c>
      <c r="I88" s="29">
        <f t="shared" si="82"/>
        <v>1.9999999799999998E-2</v>
      </c>
      <c r="J88" s="2">
        <f t="shared" si="74"/>
        <v>1869825.5811896713</v>
      </c>
      <c r="K88" s="16">
        <f t="shared" si="75"/>
        <v>0.12285165678914006</v>
      </c>
      <c r="L88" s="16">
        <f t="shared" si="76"/>
        <v>6.5288368068109601E-2</v>
      </c>
      <c r="M88" s="2">
        <f t="shared" si="83"/>
        <v>6685252.8026172435</v>
      </c>
      <c r="N88" s="2">
        <f t="shared" si="84"/>
        <v>8555078.3838069141</v>
      </c>
      <c r="O88" s="16">
        <f t="shared" si="77"/>
        <v>9.1506698638842934E-2</v>
      </c>
      <c r="Q88" s="2">
        <f t="shared" si="78"/>
        <v>102046358.37820329</v>
      </c>
    </row>
    <row r="89" spans="1:17" x14ac:dyDescent="0.2">
      <c r="A89" s="250"/>
      <c r="B89" s="14" t="s">
        <v>4</v>
      </c>
      <c r="C89" s="2">
        <f t="shared" si="79"/>
        <v>179455999.19302014</v>
      </c>
      <c r="D89" s="2">
        <f t="shared" si="80"/>
        <v>33856814.976890206</v>
      </c>
      <c r="E89" s="2">
        <f t="shared" si="71"/>
        <v>58630562.36901179</v>
      </c>
      <c r="F89" s="4">
        <f t="shared" si="72"/>
        <v>86968621.847118139</v>
      </c>
      <c r="G89" s="1">
        <f t="shared" si="81"/>
        <v>0.51537634719262848</v>
      </c>
      <c r="H89" s="1">
        <f t="shared" si="73"/>
        <v>0.48462365280737157</v>
      </c>
      <c r="I89" s="29">
        <f t="shared" si="82"/>
        <v>1.9999999799999998E-2</v>
      </c>
      <c r="J89" s="2">
        <f t="shared" si="74"/>
        <v>1172611.2356541231</v>
      </c>
      <c r="K89" s="16">
        <f t="shared" si="75"/>
        <v>0.12882878426923039</v>
      </c>
      <c r="L89" s="16">
        <f t="shared" si="76"/>
        <v>6.2559075721366694E-2</v>
      </c>
      <c r="M89" s="2">
        <f t="shared" si="83"/>
        <v>7010511.8124038065</v>
      </c>
      <c r="N89" s="2">
        <f t="shared" si="84"/>
        <v>8183123.0480579296</v>
      </c>
      <c r="O89" s="16">
        <f t="shared" si="77"/>
        <v>0.13957094589259789</v>
      </c>
      <c r="Q89" s="2">
        <f t="shared" si="78"/>
        <v>66813685.417069718</v>
      </c>
    </row>
    <row r="90" spans="1:17" x14ac:dyDescent="0.2">
      <c r="A90" s="250"/>
      <c r="B90" s="14" t="s">
        <v>5</v>
      </c>
      <c r="C90" s="2">
        <f t="shared" si="79"/>
        <v>445791778.7091096</v>
      </c>
      <c r="D90" s="2">
        <f t="shared" si="80"/>
        <v>141463173.97650519</v>
      </c>
      <c r="E90" s="2">
        <f t="shared" si="71"/>
        <v>112338460.10818158</v>
      </c>
      <c r="F90" s="4">
        <f t="shared" si="72"/>
        <v>191990144.62442282</v>
      </c>
      <c r="G90" s="1">
        <f t="shared" si="81"/>
        <v>0.56932775839793748</v>
      </c>
      <c r="H90" s="1">
        <f t="shared" si="73"/>
        <v>0.43067224160206247</v>
      </c>
      <c r="I90" s="29">
        <f t="shared" si="82"/>
        <v>1.9999999799999998E-2</v>
      </c>
      <c r="J90" s="2">
        <f t="shared" si="74"/>
        <v>2246769.1796959392</v>
      </c>
      <c r="K90" s="16">
        <f t="shared" si="75"/>
        <v>0.11448673828173915</v>
      </c>
      <c r="L90" s="16">
        <f t="shared" si="76"/>
        <v>6.9107980104062425E-2</v>
      </c>
      <c r="M90" s="2">
        <f t="shared" si="83"/>
        <v>6230056.7038682504</v>
      </c>
      <c r="N90" s="2">
        <f t="shared" si="84"/>
        <v>8476825.8835641891</v>
      </c>
      <c r="O90" s="16">
        <f t="shared" si="77"/>
        <v>7.5457914194310943E-2</v>
      </c>
      <c r="Q90" s="2">
        <f t="shared" si="78"/>
        <v>120815285.99174577</v>
      </c>
    </row>
    <row r="91" spans="1:17" x14ac:dyDescent="0.2">
      <c r="A91" s="250"/>
      <c r="B91" s="14" t="s">
        <v>6</v>
      </c>
      <c r="C91" s="2">
        <f t="shared" si="79"/>
        <v>322742754.26076895</v>
      </c>
      <c r="D91" s="2">
        <f t="shared" si="80"/>
        <v>140897744.40142485</v>
      </c>
      <c r="E91" s="2">
        <f t="shared" si="71"/>
        <v>147699425.13860229</v>
      </c>
      <c r="F91" s="4">
        <f t="shared" si="72"/>
        <v>34145584.720741808</v>
      </c>
      <c r="G91" s="1">
        <f t="shared" si="81"/>
        <v>0.89420185497595106</v>
      </c>
      <c r="H91" s="1">
        <f t="shared" si="73"/>
        <v>0.1057981450240489</v>
      </c>
      <c r="I91" s="29">
        <f t="shared" si="82"/>
        <v>1.9999999799999998E-2</v>
      </c>
      <c r="J91" s="2">
        <f t="shared" si="74"/>
        <v>2953988.4732321603</v>
      </c>
      <c r="K91" s="16">
        <f t="shared" si="75"/>
        <v>2.812460003227606E-2</v>
      </c>
      <c r="L91" s="16">
        <f t="shared" si="76"/>
        <v>0.10854289658488854</v>
      </c>
      <c r="M91" s="2">
        <f t="shared" si="83"/>
        <v>1530464.1882931716</v>
      </c>
      <c r="N91" s="2">
        <f t="shared" si="84"/>
        <v>4484452.6615253314</v>
      </c>
      <c r="O91" s="16">
        <f t="shared" si="77"/>
        <v>3.0362018385089083E-2</v>
      </c>
      <c r="Q91" s="2">
        <f t="shared" si="78"/>
        <v>152183877.80012763</v>
      </c>
    </row>
    <row r="92" spans="1:17" x14ac:dyDescent="0.2">
      <c r="A92" s="250"/>
      <c r="B92" s="14" t="s">
        <v>7</v>
      </c>
      <c r="C92" s="2">
        <f t="shared" si="79"/>
        <v>359345770.00821382</v>
      </c>
      <c r="D92" s="2">
        <f t="shared" si="80"/>
        <v>144270250.42700756</v>
      </c>
      <c r="E92" s="2">
        <f t="shared" si="71"/>
        <v>81453941.990671724</v>
      </c>
      <c r="F92" s="4">
        <f t="shared" si="72"/>
        <v>133621577.59053457</v>
      </c>
      <c r="G92" s="1">
        <f t="shared" si="81"/>
        <v>0.6281531918756682</v>
      </c>
      <c r="H92" s="1">
        <f t="shared" si="73"/>
        <v>0.37184680812433185</v>
      </c>
      <c r="I92" s="29">
        <f t="shared" si="82"/>
        <v>1.9999999799999998E-2</v>
      </c>
      <c r="J92" s="2">
        <f t="shared" si="74"/>
        <v>1629078.823522646</v>
      </c>
      <c r="K92" s="16">
        <f t="shared" si="75"/>
        <v>9.8849018093825028E-2</v>
      </c>
      <c r="L92" s="16">
        <f t="shared" si="76"/>
        <v>7.6248518794519826E-2</v>
      </c>
      <c r="M92" s="2">
        <f t="shared" si="83"/>
        <v>5379094.5317240767</v>
      </c>
      <c r="N92" s="2">
        <f t="shared" si="84"/>
        <v>7008173.3552467227</v>
      </c>
      <c r="O92" s="16">
        <f t="shared" si="77"/>
        <v>8.6038479955326333E-2</v>
      </c>
      <c r="Q92" s="2">
        <f t="shared" si="78"/>
        <v>88462115.345918447</v>
      </c>
    </row>
    <row r="93" spans="1:17" x14ac:dyDescent="0.2">
      <c r="A93" s="250"/>
      <c r="B93" s="14" t="s">
        <v>8</v>
      </c>
      <c r="C93" s="2">
        <f t="shared" si="79"/>
        <v>994914098.30409932</v>
      </c>
      <c r="D93" s="2">
        <f t="shared" si="80"/>
        <v>367071068.18737799</v>
      </c>
      <c r="E93" s="2">
        <f t="shared" si="71"/>
        <v>280844352.27083379</v>
      </c>
      <c r="F93" s="4">
        <f t="shared" si="72"/>
        <v>346998677.8458876</v>
      </c>
      <c r="G93" s="1">
        <f t="shared" si="81"/>
        <v>0.65122749950234793</v>
      </c>
      <c r="H93" s="1">
        <f t="shared" si="73"/>
        <v>0.34877250049765213</v>
      </c>
      <c r="I93" s="29">
        <f t="shared" si="82"/>
        <v>1.9999999799999998E-2</v>
      </c>
      <c r="J93" s="2">
        <f t="shared" si="74"/>
        <v>5616886.9892478045</v>
      </c>
      <c r="K93" s="16">
        <f t="shared" si="75"/>
        <v>9.2715114017581063E-2</v>
      </c>
      <c r="L93" s="16">
        <f t="shared" si="76"/>
        <v>7.9049398900676582E-2</v>
      </c>
      <c r="M93" s="2">
        <f t="shared" si="83"/>
        <v>5045304.1662666677</v>
      </c>
      <c r="N93" s="2">
        <f t="shared" si="84"/>
        <v>10662191.155514471</v>
      </c>
      <c r="O93" s="16">
        <f t="shared" si="77"/>
        <v>3.7964769700023479E-2</v>
      </c>
      <c r="Q93" s="2">
        <f t="shared" si="78"/>
        <v>291506543.42634827</v>
      </c>
    </row>
    <row r="94" spans="1:17" x14ac:dyDescent="0.2">
      <c r="A94" s="250"/>
      <c r="B94" s="14" t="s">
        <v>9</v>
      </c>
      <c r="C94" s="2">
        <f t="shared" si="79"/>
        <v>101301711.76557505</v>
      </c>
      <c r="D94" s="2">
        <f t="shared" si="80"/>
        <v>43674164.326546647</v>
      </c>
      <c r="E94" s="2">
        <f t="shared" si="71"/>
        <v>36017203.675190493</v>
      </c>
      <c r="F94" s="4">
        <f t="shared" si="72"/>
        <v>21610343.763837911</v>
      </c>
      <c r="G94" s="1">
        <f t="shared" si="81"/>
        <v>0.78667345904433505</v>
      </c>
      <c r="H94" s="1">
        <f t="shared" si="73"/>
        <v>0.21332654095566495</v>
      </c>
      <c r="I94" s="29">
        <f t="shared" si="82"/>
        <v>1.9999999799999998E-2</v>
      </c>
      <c r="J94" s="2">
        <f t="shared" si="74"/>
        <v>720344.0663003691</v>
      </c>
      <c r="K94" s="16">
        <f t="shared" si="75"/>
        <v>5.6709157228448971E-2</v>
      </c>
      <c r="L94" s="16">
        <f t="shared" si="76"/>
        <v>9.5490537663246361E-2</v>
      </c>
      <c r="M94" s="2">
        <f t="shared" si="83"/>
        <v>3085957.9936008132</v>
      </c>
      <c r="N94" s="2">
        <f>J94+M94</f>
        <v>3806302.0599011825</v>
      </c>
      <c r="O94" s="16">
        <f t="shared" si="77"/>
        <v>0.105680110378004</v>
      </c>
      <c r="Q94" s="2">
        <f t="shared" si="78"/>
        <v>39823505.735091679</v>
      </c>
    </row>
    <row r="95" spans="1:17" x14ac:dyDescent="0.2">
      <c r="A95" s="250"/>
      <c r="B95" s="14" t="s">
        <v>10</v>
      </c>
      <c r="C95" s="2">
        <f t="shared" si="79"/>
        <v>1358701839.1070924</v>
      </c>
      <c r="D95" s="2">
        <f t="shared" si="80"/>
        <v>900876149.77439809</v>
      </c>
      <c r="E95" s="2">
        <f t="shared" si="71"/>
        <v>330193421.07044363</v>
      </c>
      <c r="F95" s="4">
        <f t="shared" si="72"/>
        <v>127632268.26225066</v>
      </c>
      <c r="G95" s="1">
        <f>1-H95</f>
        <v>0.90606307830853627</v>
      </c>
      <c r="H95" s="1">
        <f t="shared" si="73"/>
        <v>9.3936921691463712E-2</v>
      </c>
      <c r="I95" s="29">
        <f t="shared" si="82"/>
        <v>1.9999999799999998E-2</v>
      </c>
      <c r="J95" s="2">
        <f t="shared" si="74"/>
        <v>6603868.3553701872</v>
      </c>
      <c r="K95" s="16">
        <f t="shared" si="75"/>
        <v>2.4971499738819781E-2</v>
      </c>
      <c r="L95" s="16">
        <f t="shared" si="76"/>
        <v>0.10998267389064428</v>
      </c>
      <c r="M95" s="2">
        <f>$J$98*IF($J$98&lt;0,L95,K95)</f>
        <v>1358881.0519750195</v>
      </c>
      <c r="N95" s="2">
        <f t="shared" ref="N95:N96" si="85">J95+M95</f>
        <v>7962749.4073452065</v>
      </c>
      <c r="O95" s="16">
        <f t="shared" si="77"/>
        <v>2.4115409027626961E-2</v>
      </c>
      <c r="Q95" s="2">
        <f t="shared" si="78"/>
        <v>338156170.47778887</v>
      </c>
    </row>
    <row r="96" spans="1:17" x14ac:dyDescent="0.2">
      <c r="A96" s="250"/>
      <c r="B96" s="14" t="s">
        <v>11</v>
      </c>
      <c r="C96" s="2">
        <f t="shared" si="79"/>
        <v>213524926.43134055</v>
      </c>
      <c r="D96" s="2">
        <f t="shared" si="80"/>
        <v>74592139.975555301</v>
      </c>
      <c r="E96" s="2">
        <f t="shared" si="71"/>
        <v>67545243.194181859</v>
      </c>
      <c r="F96" s="4">
        <f t="shared" si="72"/>
        <v>71387543.261603385</v>
      </c>
      <c r="G96" s="1">
        <f t="shared" si="81"/>
        <v>0.66567114924374782</v>
      </c>
      <c r="H96" s="1">
        <f t="shared" si="73"/>
        <v>0.33432885075625218</v>
      </c>
      <c r="I96" s="29">
        <f t="shared" si="82"/>
        <v>1.9999999799999998E-2</v>
      </c>
      <c r="J96" s="2">
        <f t="shared" si="74"/>
        <v>1350904.8503745885</v>
      </c>
      <c r="K96" s="16">
        <f t="shared" si="75"/>
        <v>8.8875520498329627E-2</v>
      </c>
      <c r="L96" s="16">
        <f t="shared" si="76"/>
        <v>8.0802644626420783E-2</v>
      </c>
      <c r="M96" s="2">
        <f t="shared" si="83"/>
        <v>4836363.9369985852</v>
      </c>
      <c r="N96" s="2">
        <f t="shared" si="85"/>
        <v>6187268.787373174</v>
      </c>
      <c r="O96" s="16">
        <f t="shared" si="77"/>
        <v>9.1601843368684863E-2</v>
      </c>
      <c r="Q96" s="2">
        <f t="shared" si="78"/>
        <v>73732511.98155503</v>
      </c>
    </row>
    <row r="97" spans="1:17" x14ac:dyDescent="0.2">
      <c r="A97" s="250"/>
      <c r="B97" s="15" t="s">
        <v>14</v>
      </c>
      <c r="C97" s="30">
        <f>SUM(C85:C96)</f>
        <v>4881294211.961133</v>
      </c>
      <c r="D97" s="3">
        <f t="shared" ref="D97" si="86">D47*(1+$C$56)</f>
        <v>2141155240.1692705</v>
      </c>
      <c r="E97" s="30">
        <f>SUM(E85:E96)</f>
        <v>1360431951.8184001</v>
      </c>
      <c r="F97" s="30">
        <f>SUM(F85:F96)</f>
        <v>1379707019.9734628</v>
      </c>
      <c r="G97" s="1">
        <f>1-H97</f>
        <v>0.71734811300809809</v>
      </c>
      <c r="H97" s="11">
        <f t="shared" si="73"/>
        <v>0.28265188699190186</v>
      </c>
      <c r="J97" s="30">
        <f>SUM(J85:J96)</f>
        <v>27208638.764281608</v>
      </c>
      <c r="M97" s="30">
        <f>SUM(M85:M96)</f>
        <v>54417278.344822541</v>
      </c>
      <c r="N97" s="30">
        <f>SUM(N85:N96)</f>
        <v>81625917.109104142</v>
      </c>
      <c r="O97" s="16">
        <f t="shared" si="77"/>
        <v>6.0000000000000095E-2</v>
      </c>
      <c r="Q97" s="3">
        <f>SUM(Q85:Q96)</f>
        <v>1442057868.9275043</v>
      </c>
    </row>
    <row r="98" spans="1:17" x14ac:dyDescent="0.2">
      <c r="C98" s="30"/>
      <c r="D98" s="3"/>
      <c r="E98" s="30"/>
      <c r="F98" s="30"/>
      <c r="G98" s="21">
        <f>SUM(G85:G96)</f>
        <v>8.2382346805773636</v>
      </c>
      <c r="H98" s="21">
        <f>SUM(H85:H96)</f>
        <v>3.7617653194226381</v>
      </c>
      <c r="I98" s="10" t="s">
        <v>30</v>
      </c>
      <c r="J98" s="17">
        <f>C80-SUM(J85:J96)</f>
        <v>54417278.344822548</v>
      </c>
    </row>
    <row r="101" spans="1:17" x14ac:dyDescent="0.2">
      <c r="A101" s="250">
        <v>4</v>
      </c>
      <c r="B101" t="s">
        <v>34</v>
      </c>
      <c r="C101" s="4">
        <f>Q97</f>
        <v>1442057868.9275043</v>
      </c>
      <c r="D101" s="4"/>
    </row>
    <row r="102" spans="1:17" x14ac:dyDescent="0.2">
      <c r="A102" s="250"/>
      <c r="B102" t="s">
        <v>27</v>
      </c>
      <c r="C102" s="6">
        <f>C101*(1+C103)</f>
        <v>1528581341.0631547</v>
      </c>
      <c r="D102" s="6"/>
    </row>
    <row r="103" spans="1:17" x14ac:dyDescent="0.2">
      <c r="A103" s="250"/>
      <c r="B103" t="s">
        <v>28</v>
      </c>
      <c r="C103" s="20">
        <f>C4</f>
        <v>0.06</v>
      </c>
      <c r="D103" s="20"/>
    </row>
    <row r="104" spans="1:17" x14ac:dyDescent="0.2">
      <c r="A104" s="250"/>
      <c r="B104" t="s">
        <v>16</v>
      </c>
      <c r="C104" s="20">
        <f>C5</f>
        <v>0.03</v>
      </c>
      <c r="D104" s="20"/>
    </row>
    <row r="105" spans="1:17" x14ac:dyDescent="0.2">
      <c r="A105" s="250"/>
      <c r="B105" t="s">
        <v>31</v>
      </c>
      <c r="C105" s="6">
        <f>C102-C101</f>
        <v>86523472.135650396</v>
      </c>
      <c r="D105" s="6"/>
    </row>
    <row r="106" spans="1:17" x14ac:dyDescent="0.2">
      <c r="A106" s="250"/>
      <c r="B106" t="s">
        <v>48</v>
      </c>
      <c r="C106" s="20">
        <f>((1+$C$5)^A101)-1</f>
        <v>0.12550880999999992</v>
      </c>
      <c r="D106" s="20"/>
    </row>
    <row r="107" spans="1:17" ht="21" x14ac:dyDescent="0.25">
      <c r="A107" s="250"/>
      <c r="F107" s="6"/>
      <c r="G107" s="6"/>
      <c r="I107" s="251" t="s">
        <v>18</v>
      </c>
      <c r="J107" s="251"/>
      <c r="K107" s="251"/>
      <c r="L107" s="251"/>
      <c r="M107" s="251"/>
      <c r="N107" s="251"/>
      <c r="O107" s="251"/>
    </row>
    <row r="108" spans="1:17" x14ac:dyDescent="0.2">
      <c r="A108" s="250" t="s">
        <v>51</v>
      </c>
      <c r="I108" s="255" t="s">
        <v>19</v>
      </c>
      <c r="J108" s="255"/>
      <c r="K108" s="255"/>
      <c r="L108" s="255"/>
      <c r="M108" s="255"/>
      <c r="N108" s="255"/>
      <c r="O108" s="255"/>
    </row>
    <row r="109" spans="1:17" ht="49" thickBot="1" x14ac:dyDescent="0.25">
      <c r="A109" s="250"/>
      <c r="B109" s="22" t="s">
        <v>12</v>
      </c>
      <c r="C109" s="13" t="s">
        <v>15</v>
      </c>
      <c r="D109" s="13" t="s">
        <v>63</v>
      </c>
      <c r="E109" s="13" t="s">
        <v>29</v>
      </c>
      <c r="F109" s="13" t="s">
        <v>13</v>
      </c>
      <c r="G109" s="13" t="s">
        <v>50</v>
      </c>
      <c r="H109" s="13" t="s">
        <v>17</v>
      </c>
      <c r="I109" s="28" t="s">
        <v>20</v>
      </c>
      <c r="J109" s="28" t="s">
        <v>21</v>
      </c>
      <c r="K109" s="28" t="s">
        <v>22</v>
      </c>
      <c r="L109" s="28" t="s">
        <v>49</v>
      </c>
      <c r="M109" s="28" t="s">
        <v>23</v>
      </c>
      <c r="N109" s="28" t="s">
        <v>24</v>
      </c>
      <c r="O109" s="28" t="s">
        <v>25</v>
      </c>
      <c r="Q109" s="28" t="s">
        <v>32</v>
      </c>
    </row>
    <row r="110" spans="1:17" ht="19" customHeight="1" thickTop="1" x14ac:dyDescent="0.2">
      <c r="A110" s="250"/>
      <c r="B110" s="14" t="s">
        <v>0</v>
      </c>
      <c r="C110" s="2">
        <f>VLOOKUP($B110,$B$9:$O$22,2,FALSE)*(1+$C$106)</f>
        <v>83356327.79333052</v>
      </c>
      <c r="D110" s="2">
        <f>VLOOKUP($B110,$B$9:$O$22,3,FALSE)*(1+$C$106)</f>
        <v>16381683.293593006</v>
      </c>
      <c r="E110" s="2">
        <f t="shared" ref="E110:E121" si="87">Q85</f>
        <v>53988229.717350692</v>
      </c>
      <c r="F110" s="4">
        <f t="shared" ref="F110:F121" si="88">C110-E110-D110</f>
        <v>12986414.782386823</v>
      </c>
      <c r="G110" s="1">
        <f>1-H110</f>
        <v>0.84420601139502349</v>
      </c>
      <c r="H110" s="1">
        <f t="shared" ref="H110:H122" si="89">MAX(0,F110/C110)</f>
        <v>0.15579398860497651</v>
      </c>
      <c r="I110" s="29">
        <f>MIN($C$5,($C$4*0.5))*$C$8</f>
        <v>1.9999999799999998E-2</v>
      </c>
      <c r="J110" s="2">
        <f t="shared" ref="J110:J121" si="90">I110*E110</f>
        <v>1079764.5835493677</v>
      </c>
      <c r="K110" s="16">
        <f t="shared" ref="K110:K121" si="91">H110/$H$123</f>
        <v>4.3811196510700139E-2</v>
      </c>
      <c r="L110" s="16">
        <f t="shared" ref="L110:L121" si="92">G110/$G$123</f>
        <v>9.9977397731392373E-2</v>
      </c>
      <c r="M110" s="2">
        <f>$J$123*IF($J$123&lt;0,L110,K110)</f>
        <v>2527131.2396510364</v>
      </c>
      <c r="N110" s="2">
        <f>J110+M110</f>
        <v>3606895.8232004042</v>
      </c>
      <c r="O110" s="16">
        <f t="shared" ref="O110:O122" si="93">N110/E110</f>
        <v>6.6808929318184759E-2</v>
      </c>
      <c r="Q110" s="2">
        <f t="shared" ref="Q110:Q121" si="94">N110+E110</f>
        <v>57595125.540551096</v>
      </c>
    </row>
    <row r="111" spans="1:17" x14ac:dyDescent="0.2">
      <c r="A111" s="250"/>
      <c r="B111" s="14" t="s">
        <v>1</v>
      </c>
      <c r="C111" s="2">
        <f t="shared" ref="C111:C121" si="95">VLOOKUP($B111,$B$9:$O$22,2,FALSE)*(1+$C$106)</f>
        <v>185671161.23042026</v>
      </c>
      <c r="D111" s="2">
        <f t="shared" ref="D111:D121" si="96">VLOOKUP($B111,$B$9:$O$22,3,FALSE)*(1+$C$106)</f>
        <v>62165519.561558373</v>
      </c>
      <c r="E111" s="2">
        <f t="shared" si="87"/>
        <v>65227890.928692661</v>
      </c>
      <c r="F111" s="4">
        <f t="shared" si="88"/>
        <v>58277750.74016922</v>
      </c>
      <c r="G111" s="1">
        <f t="shared" ref="G111:G121" si="97">1-H111</f>
        <v>0.6861238419904867</v>
      </c>
      <c r="H111" s="1">
        <f t="shared" si="89"/>
        <v>0.31387615800951335</v>
      </c>
      <c r="I111" s="29">
        <f t="shared" ref="I111:I121" si="98">MIN($C$5,($C$4*0.5))*$C$8</f>
        <v>1.9999999799999998E-2</v>
      </c>
      <c r="J111" s="2">
        <f t="shared" si="90"/>
        <v>1304557.805528275</v>
      </c>
      <c r="K111" s="16">
        <f t="shared" si="91"/>
        <v>8.8265857763263539E-2</v>
      </c>
      <c r="L111" s="16">
        <f t="shared" si="92"/>
        <v>8.1256085976359915E-2</v>
      </c>
      <c r="M111" s="2">
        <f t="shared" ref="M111:M121" si="99">$J$123*IF($J$123&lt;0,L111,K111)</f>
        <v>5091379.0152629083</v>
      </c>
      <c r="N111" s="2">
        <f>J111+M111</f>
        <v>6395936.820791183</v>
      </c>
      <c r="O111" s="16">
        <f t="shared" si="93"/>
        <v>9.8055244922501658E-2</v>
      </c>
      <c r="Q111" s="2">
        <f t="shared" si="94"/>
        <v>71623827.749483839</v>
      </c>
    </row>
    <row r="112" spans="1:17" x14ac:dyDescent="0.2">
      <c r="A112" s="250"/>
      <c r="B112" s="14" t="s">
        <v>2</v>
      </c>
      <c r="C112" s="2">
        <f t="shared" si="95"/>
        <v>125888653.19032723</v>
      </c>
      <c r="D112" s="2">
        <f t="shared" si="96"/>
        <v>31793583.021925598</v>
      </c>
      <c r="E112" s="2">
        <f t="shared" si="87"/>
        <v>49301693.727612287</v>
      </c>
      <c r="F112" s="4">
        <f t="shared" si="88"/>
        <v>44793376.440789342</v>
      </c>
      <c r="G112" s="1">
        <f t="shared" si="97"/>
        <v>0.64418257479434948</v>
      </c>
      <c r="H112" s="1">
        <f t="shared" si="89"/>
        <v>0.35581742520565057</v>
      </c>
      <c r="I112" s="29">
        <f t="shared" si="98"/>
        <v>1.9999999799999998E-2</v>
      </c>
      <c r="J112" s="2">
        <f t="shared" si="90"/>
        <v>986033.86469190684</v>
      </c>
      <c r="K112" s="16">
        <f t="shared" si="91"/>
        <v>0.10006026084319761</v>
      </c>
      <c r="L112" s="16">
        <f t="shared" si="92"/>
        <v>7.6289077100294561E-2</v>
      </c>
      <c r="M112" s="2">
        <f t="shared" si="99"/>
        <v>5771707.4894934213</v>
      </c>
      <c r="N112" s="2">
        <f t="shared" ref="N112:N118" si="100">J112+M112</f>
        <v>6757741.3541853279</v>
      </c>
      <c r="O112" s="16">
        <f t="shared" si="93"/>
        <v>0.13706915205634274</v>
      </c>
      <c r="Q112" s="2">
        <f t="shared" si="94"/>
        <v>56059435.081797615</v>
      </c>
    </row>
    <row r="113" spans="1:17" x14ac:dyDescent="0.2">
      <c r="A113" s="250"/>
      <c r="B113" s="14" t="s">
        <v>3</v>
      </c>
      <c r="C113" s="2">
        <f t="shared" si="95"/>
        <v>537764651.99329317</v>
      </c>
      <c r="D113" s="2">
        <f t="shared" si="96"/>
        <v>192946560.27019459</v>
      </c>
      <c r="E113" s="2">
        <f t="shared" si="87"/>
        <v>102046358.37820329</v>
      </c>
      <c r="F113" s="4">
        <f t="shared" si="88"/>
        <v>242771733.3448953</v>
      </c>
      <c r="G113" s="1">
        <f t="shared" si="97"/>
        <v>0.54855394000882929</v>
      </c>
      <c r="H113" s="1">
        <f t="shared" si="89"/>
        <v>0.45144605999117077</v>
      </c>
      <c r="I113" s="29">
        <f t="shared" si="98"/>
        <v>1.9999999799999998E-2</v>
      </c>
      <c r="J113" s="2">
        <f t="shared" si="90"/>
        <v>2040927.1471547938</v>
      </c>
      <c r="K113" s="16">
        <f t="shared" si="91"/>
        <v>0.12695221571355755</v>
      </c>
      <c r="L113" s="16">
        <f t="shared" si="92"/>
        <v>6.4963995395814322E-2</v>
      </c>
      <c r="M113" s="2">
        <f t="shared" si="99"/>
        <v>7322897.702515211</v>
      </c>
      <c r="N113" s="2">
        <f t="shared" si="100"/>
        <v>9363824.8496700041</v>
      </c>
      <c r="O113" s="16">
        <f t="shared" si="93"/>
        <v>9.1760499820737168E-2</v>
      </c>
      <c r="Q113" s="2">
        <f t="shared" si="94"/>
        <v>111410183.2278733</v>
      </c>
    </row>
    <row r="114" spans="1:17" x14ac:dyDescent="0.2">
      <c r="A114" s="250"/>
      <c r="B114" s="14" t="s">
        <v>4</v>
      </c>
      <c r="C114" s="2">
        <f t="shared" si="95"/>
        <v>184839679.16881073</v>
      </c>
      <c r="D114" s="2">
        <f t="shared" si="96"/>
        <v>34872519.42619691</v>
      </c>
      <c r="E114" s="2">
        <f t="shared" si="87"/>
        <v>66813685.417069718</v>
      </c>
      <c r="F114" s="4">
        <f t="shared" si="88"/>
        <v>83153474.325544089</v>
      </c>
      <c r="G114" s="1">
        <f t="shared" si="97"/>
        <v>0.55013190512194332</v>
      </c>
      <c r="H114" s="1">
        <f t="shared" si="89"/>
        <v>0.44986809487805662</v>
      </c>
      <c r="I114" s="29">
        <f t="shared" si="98"/>
        <v>1.9999999799999998E-2</v>
      </c>
      <c r="J114" s="2">
        <f t="shared" si="90"/>
        <v>1336273.6949786572</v>
      </c>
      <c r="K114" s="16">
        <f t="shared" si="91"/>
        <v>0.12650847240692098</v>
      </c>
      <c r="L114" s="16">
        <f t="shared" si="92"/>
        <v>6.5150870214982406E-2</v>
      </c>
      <c r="M114" s="2">
        <f t="shared" si="99"/>
        <v>7297301.5613024635</v>
      </c>
      <c r="N114" s="2">
        <f t="shared" si="100"/>
        <v>8633575.2562811207</v>
      </c>
      <c r="O114" s="16">
        <f t="shared" si="93"/>
        <v>0.12921866534360332</v>
      </c>
      <c r="Q114" s="2">
        <f t="shared" si="94"/>
        <v>75447260.673350841</v>
      </c>
    </row>
    <row r="115" spans="1:17" x14ac:dyDescent="0.2">
      <c r="A115" s="250"/>
      <c r="B115" s="14" t="s">
        <v>5</v>
      </c>
      <c r="C115" s="2">
        <f t="shared" si="95"/>
        <v>459165532.07038289</v>
      </c>
      <c r="D115" s="2">
        <f t="shared" si="96"/>
        <v>145707069.19580033</v>
      </c>
      <c r="E115" s="2">
        <f t="shared" si="87"/>
        <v>120815285.99174577</v>
      </c>
      <c r="F115" s="4">
        <f t="shared" si="88"/>
        <v>192643176.88283679</v>
      </c>
      <c r="G115" s="1">
        <f t="shared" si="97"/>
        <v>0.58044939476574742</v>
      </c>
      <c r="H115" s="1">
        <f t="shared" si="89"/>
        <v>0.41955060523425264</v>
      </c>
      <c r="I115" s="29">
        <f t="shared" si="98"/>
        <v>1.9999999799999998E-2</v>
      </c>
      <c r="J115" s="2">
        <f t="shared" si="90"/>
        <v>2416305.6956718578</v>
      </c>
      <c r="K115" s="16">
        <f t="shared" si="91"/>
        <v>0.11798281934168209</v>
      </c>
      <c r="L115" s="16">
        <f t="shared" si="92"/>
        <v>6.8741301554516743E-2</v>
      </c>
      <c r="M115" s="2">
        <f t="shared" si="99"/>
        <v>6805522.1552246194</v>
      </c>
      <c r="N115" s="2">
        <f t="shared" si="100"/>
        <v>9221827.8508964777</v>
      </c>
      <c r="O115" s="16">
        <f t="shared" si="93"/>
        <v>7.6329975757591831E-2</v>
      </c>
      <c r="Q115" s="2">
        <f t="shared" si="94"/>
        <v>130037113.84264225</v>
      </c>
    </row>
    <row r="116" spans="1:17" x14ac:dyDescent="0.2">
      <c r="A116" s="250"/>
      <c r="B116" s="14" t="s">
        <v>6</v>
      </c>
      <c r="C116" s="2">
        <f t="shared" si="95"/>
        <v>332425036.888592</v>
      </c>
      <c r="D116" s="2">
        <f t="shared" si="96"/>
        <v>145124676.73346758</v>
      </c>
      <c r="E116" s="2">
        <f t="shared" si="87"/>
        <v>152183877.80012763</v>
      </c>
      <c r="F116" s="4">
        <f t="shared" si="88"/>
        <v>35116482.3549968</v>
      </c>
      <c r="G116" s="1">
        <f t="shared" si="97"/>
        <v>0.89436270299109377</v>
      </c>
      <c r="H116" s="1">
        <f t="shared" si="89"/>
        <v>0.10563729700890623</v>
      </c>
      <c r="I116" s="29">
        <f t="shared" si="98"/>
        <v>1.9999999799999998E-2</v>
      </c>
      <c r="J116" s="2">
        <f t="shared" si="90"/>
        <v>3043677.5255657765</v>
      </c>
      <c r="K116" s="16">
        <f t="shared" si="91"/>
        <v>2.9706514478239323E-2</v>
      </c>
      <c r="L116" s="16">
        <f t="shared" si="92"/>
        <v>0.10591734063265736</v>
      </c>
      <c r="M116" s="2">
        <f t="shared" si="99"/>
        <v>1713540.5270378608</v>
      </c>
      <c r="N116" s="2">
        <f t="shared" si="100"/>
        <v>4757218.0526036378</v>
      </c>
      <c r="O116" s="16">
        <f t="shared" si="93"/>
        <v>3.1259671664114003E-2</v>
      </c>
      <c r="Q116" s="2">
        <f t="shared" si="94"/>
        <v>156941095.85273126</v>
      </c>
    </row>
    <row r="117" spans="1:17" x14ac:dyDescent="0.2">
      <c r="A117" s="250"/>
      <c r="B117" s="14" t="s">
        <v>7</v>
      </c>
      <c r="C117" s="2">
        <f t="shared" si="95"/>
        <v>370126143.10846019</v>
      </c>
      <c r="D117" s="2">
        <f t="shared" si="96"/>
        <v>148598357.93981779</v>
      </c>
      <c r="E117" s="2">
        <f t="shared" si="87"/>
        <v>88462115.345918447</v>
      </c>
      <c r="F117" s="4">
        <f t="shared" si="88"/>
        <v>133065669.82272398</v>
      </c>
      <c r="G117" s="1">
        <f t="shared" si="97"/>
        <v>0.64048562280635501</v>
      </c>
      <c r="H117" s="1">
        <f t="shared" si="89"/>
        <v>0.35951437719364499</v>
      </c>
      <c r="I117" s="29">
        <f t="shared" si="98"/>
        <v>1.9999999799999998E-2</v>
      </c>
      <c r="J117" s="2">
        <f t="shared" si="90"/>
        <v>1769242.2892259457</v>
      </c>
      <c r="K117" s="16">
        <f t="shared" si="91"/>
        <v>0.10109988946742729</v>
      </c>
      <c r="L117" s="16">
        <f t="shared" si="92"/>
        <v>7.5851255485299404E-2</v>
      </c>
      <c r="M117" s="2">
        <f t="shared" si="99"/>
        <v>5831675.6753265699</v>
      </c>
      <c r="N117" s="2">
        <f t="shared" si="100"/>
        <v>7600917.9645525161</v>
      </c>
      <c r="O117" s="16">
        <f t="shared" si="93"/>
        <v>8.5922860139961768E-2</v>
      </c>
      <c r="Q117" s="2">
        <f t="shared" si="94"/>
        <v>96063033.310470968</v>
      </c>
    </row>
    <row r="118" spans="1:17" x14ac:dyDescent="0.2">
      <c r="A118" s="250"/>
      <c r="B118" s="14" t="s">
        <v>8</v>
      </c>
      <c r="C118" s="2">
        <f t="shared" si="95"/>
        <v>1024761521.2532222</v>
      </c>
      <c r="D118" s="2">
        <f t="shared" si="96"/>
        <v>378083200.23299927</v>
      </c>
      <c r="E118" s="2">
        <f t="shared" si="87"/>
        <v>291506543.42634827</v>
      </c>
      <c r="F118" s="4">
        <f t="shared" si="88"/>
        <v>355171777.59387475</v>
      </c>
      <c r="G118" s="1">
        <f t="shared" si="97"/>
        <v>0.65341031037199682</v>
      </c>
      <c r="H118" s="1">
        <f t="shared" si="89"/>
        <v>0.34658968962800324</v>
      </c>
      <c r="I118" s="29">
        <f t="shared" si="98"/>
        <v>1.9999999799999998E-2</v>
      </c>
      <c r="J118" s="2">
        <f t="shared" si="90"/>
        <v>5830130.8102256563</v>
      </c>
      <c r="K118" s="16">
        <f t="shared" si="91"/>
        <v>9.7465307466876053E-2</v>
      </c>
      <c r="L118" s="16">
        <f t="shared" si="92"/>
        <v>7.7381896835707314E-2</v>
      </c>
      <c r="M118" s="2">
        <f t="shared" si="99"/>
        <v>5622024.5713120261</v>
      </c>
      <c r="N118" s="2">
        <f t="shared" si="100"/>
        <v>11452155.381537683</v>
      </c>
      <c r="O118" s="16">
        <f t="shared" si="93"/>
        <v>3.9286100568892285E-2</v>
      </c>
      <c r="Q118" s="2">
        <f t="shared" si="94"/>
        <v>302958698.80788594</v>
      </c>
    </row>
    <row r="119" spans="1:17" x14ac:dyDescent="0.2">
      <c r="A119" s="250"/>
      <c r="B119" s="14" t="s">
        <v>9</v>
      </c>
      <c r="C119" s="2">
        <f t="shared" si="95"/>
        <v>104340763.11854228</v>
      </c>
      <c r="D119" s="2">
        <f t="shared" si="96"/>
        <v>44984389.256343044</v>
      </c>
      <c r="E119" s="2">
        <f t="shared" si="87"/>
        <v>39823505.735091679</v>
      </c>
      <c r="F119" s="4">
        <f t="shared" si="88"/>
        <v>19532868.127107561</v>
      </c>
      <c r="G119" s="1">
        <f t="shared" si="97"/>
        <v>0.81279734263668235</v>
      </c>
      <c r="H119" s="1">
        <f t="shared" si="89"/>
        <v>0.18720265736331762</v>
      </c>
      <c r="I119" s="29">
        <f t="shared" si="98"/>
        <v>1.9999999799999998E-2</v>
      </c>
      <c r="J119" s="2">
        <f t="shared" si="90"/>
        <v>796470.1067371323</v>
      </c>
      <c r="K119" s="16">
        <f t="shared" si="91"/>
        <v>5.2643702639034895E-2</v>
      </c>
      <c r="L119" s="16">
        <f t="shared" si="92"/>
        <v>9.6257740531276934E-2</v>
      </c>
      <c r="M119" s="2">
        <f t="shared" si="99"/>
        <v>3036610.6407870562</v>
      </c>
      <c r="N119" s="2">
        <f>J119+M119</f>
        <v>3833080.7475241884</v>
      </c>
      <c r="O119" s="16">
        <f t="shared" si="93"/>
        <v>9.6251715582803501E-2</v>
      </c>
      <c r="Q119" s="2">
        <f t="shared" si="94"/>
        <v>43656586.482615866</v>
      </c>
    </row>
    <row r="120" spans="1:17" x14ac:dyDescent="0.2">
      <c r="A120" s="250"/>
      <c r="B120" s="14" t="s">
        <v>10</v>
      </c>
      <c r="C120" s="2">
        <f t="shared" si="95"/>
        <v>1399462894.2803051</v>
      </c>
      <c r="D120" s="2">
        <f t="shared" si="96"/>
        <v>927902434.26762986</v>
      </c>
      <c r="E120" s="2">
        <f t="shared" si="87"/>
        <v>338156170.47778887</v>
      </c>
      <c r="F120" s="4">
        <f t="shared" si="88"/>
        <v>133404289.53488636</v>
      </c>
      <c r="G120" s="1">
        <f t="shared" si="97"/>
        <v>0.90467465048189677</v>
      </c>
      <c r="H120" s="1">
        <f t="shared" si="89"/>
        <v>9.5325349518103175E-2</v>
      </c>
      <c r="I120" s="29">
        <f t="shared" si="98"/>
        <v>1.9999999799999998E-2</v>
      </c>
      <c r="J120" s="2">
        <f t="shared" si="90"/>
        <v>6763123.3419245426</v>
      </c>
      <c r="K120" s="16">
        <f t="shared" si="91"/>
        <v>2.6806667302023163E-2</v>
      </c>
      <c r="L120" s="16">
        <f t="shared" si="92"/>
        <v>0.10713856111883895</v>
      </c>
      <c r="M120" s="2">
        <f t="shared" si="99"/>
        <v>1546270.6286355222</v>
      </c>
      <c r="N120" s="2">
        <f t="shared" ref="N120:N121" si="101">J120+M120</f>
        <v>8309393.9705600645</v>
      </c>
      <c r="O120" s="16">
        <f t="shared" si="93"/>
        <v>2.4572652212199838E-2</v>
      </c>
      <c r="Q120" s="2">
        <f t="shared" si="94"/>
        <v>346465564.44834894</v>
      </c>
    </row>
    <row r="121" spans="1:17" x14ac:dyDescent="0.2">
      <c r="A121" s="250"/>
      <c r="B121" s="14" t="s">
        <v>11</v>
      </c>
      <c r="C121" s="2">
        <f t="shared" si="95"/>
        <v>219930674.22428074</v>
      </c>
      <c r="D121" s="2">
        <f t="shared" si="96"/>
        <v>76829904.174821958</v>
      </c>
      <c r="E121" s="2">
        <f t="shared" si="87"/>
        <v>73732511.98155503</v>
      </c>
      <c r="F121" s="4">
        <f t="shared" si="88"/>
        <v>69368258.067903772</v>
      </c>
      <c r="G121" s="1">
        <f t="shared" si="97"/>
        <v>0.68459034505953698</v>
      </c>
      <c r="H121" s="1">
        <f t="shared" si="89"/>
        <v>0.31540965494046302</v>
      </c>
      <c r="I121" s="29">
        <f t="shared" si="98"/>
        <v>1.9999999799999998E-2</v>
      </c>
      <c r="J121" s="2">
        <f t="shared" si="90"/>
        <v>1474650.2248845981</v>
      </c>
      <c r="K121" s="16">
        <f t="shared" si="91"/>
        <v>8.8697096067077305E-2</v>
      </c>
      <c r="L121" s="16">
        <f t="shared" si="92"/>
        <v>8.1074477422859934E-2</v>
      </c>
      <c r="M121" s="2">
        <f t="shared" si="99"/>
        <v>5116253.8389631864</v>
      </c>
      <c r="N121" s="2">
        <f t="shared" si="101"/>
        <v>6590904.063847784</v>
      </c>
      <c r="O121" s="16">
        <f t="shared" si="93"/>
        <v>8.9389387214917737E-2</v>
      </c>
      <c r="Q121" s="2">
        <f t="shared" si="94"/>
        <v>80323416.04540281</v>
      </c>
    </row>
    <row r="122" spans="1:17" x14ac:dyDescent="0.2">
      <c r="A122" s="250"/>
      <c r="B122" s="15" t="s">
        <v>14</v>
      </c>
      <c r="C122" s="30">
        <f>SUM(C110:C121)</f>
        <v>5027733038.3199673</v>
      </c>
      <c r="D122" s="30">
        <f>SUM(D110:D121)</f>
        <v>2205389897.3743486</v>
      </c>
      <c r="E122" s="30">
        <f>SUM(E110:E121)</f>
        <v>1442057868.9275043</v>
      </c>
      <c r="F122" s="30">
        <f>SUM(F110:F121)</f>
        <v>1380285272.0181148</v>
      </c>
      <c r="G122" s="1">
        <f>1-H122</f>
        <v>0.7254656797610437</v>
      </c>
      <c r="H122" s="11">
        <f t="shared" si="89"/>
        <v>0.27453432023895635</v>
      </c>
      <c r="J122" s="30">
        <f>SUM(J110:J121)</f>
        <v>28841157.09013851</v>
      </c>
      <c r="M122" s="30">
        <f>SUM(M110:M121)</f>
        <v>57682315.045511886</v>
      </c>
      <c r="N122" s="30">
        <f>SUM(N110:N121)</f>
        <v>86523472.135650381</v>
      </c>
      <c r="O122" s="16">
        <f t="shared" si="93"/>
        <v>6.0000000000000088E-2</v>
      </c>
      <c r="Q122" s="3">
        <f>SUM(Q110:Q121)</f>
        <v>1528581341.0631547</v>
      </c>
    </row>
    <row r="123" spans="1:17" x14ac:dyDescent="0.2">
      <c r="A123" s="36"/>
      <c r="C123" s="30"/>
      <c r="D123" s="30"/>
      <c r="E123" s="30"/>
      <c r="F123" s="30"/>
      <c r="G123" s="21">
        <f>SUM(G110:G121)</f>
        <v>8.4439686424239397</v>
      </c>
      <c r="H123" s="21">
        <f>SUM(H110:H121)</f>
        <v>3.5560313575760589</v>
      </c>
      <c r="I123" s="10" t="s">
        <v>30</v>
      </c>
      <c r="J123" s="17">
        <f>C105-SUM(J110:J121)</f>
        <v>57682315.045511886</v>
      </c>
    </row>
    <row r="126" spans="1:17" x14ac:dyDescent="0.2">
      <c r="A126" s="250">
        <v>5</v>
      </c>
      <c r="B126" t="s">
        <v>34</v>
      </c>
      <c r="C126" s="4">
        <f>Q122</f>
        <v>1528581341.0631547</v>
      </c>
      <c r="D126" s="4"/>
    </row>
    <row r="127" spans="1:17" x14ac:dyDescent="0.2">
      <c r="A127" s="250"/>
      <c r="B127" t="s">
        <v>27</v>
      </c>
      <c r="C127" s="6">
        <f>C126*(1+C128)</f>
        <v>1620296221.5269442</v>
      </c>
      <c r="D127" s="6"/>
    </row>
    <row r="128" spans="1:17" x14ac:dyDescent="0.2">
      <c r="A128" s="250"/>
      <c r="B128" t="s">
        <v>28</v>
      </c>
      <c r="C128" s="20">
        <f>C4</f>
        <v>0.06</v>
      </c>
      <c r="D128" s="20"/>
    </row>
    <row r="129" spans="1:17" x14ac:dyDescent="0.2">
      <c r="A129" s="250"/>
      <c r="B129" t="s">
        <v>16</v>
      </c>
      <c r="C129" s="20">
        <f>C5</f>
        <v>0.03</v>
      </c>
      <c r="D129" s="20"/>
    </row>
    <row r="130" spans="1:17" x14ac:dyDescent="0.2">
      <c r="A130" s="250"/>
      <c r="B130" t="s">
        <v>31</v>
      </c>
      <c r="C130" s="6">
        <f>C127-C126</f>
        <v>91714880.463789463</v>
      </c>
      <c r="D130" s="6"/>
    </row>
    <row r="131" spans="1:17" x14ac:dyDescent="0.2">
      <c r="A131" s="250"/>
      <c r="B131" t="s">
        <v>48</v>
      </c>
      <c r="C131" s="20">
        <f>((1+$C$5)^A126)-1</f>
        <v>0.15927407429999985</v>
      </c>
      <c r="D131" s="20"/>
    </row>
    <row r="132" spans="1:17" ht="21" x14ac:dyDescent="0.25">
      <c r="A132" s="250"/>
      <c r="F132" s="6"/>
      <c r="G132" s="6"/>
      <c r="I132" s="251" t="s">
        <v>18</v>
      </c>
      <c r="J132" s="251"/>
      <c r="K132" s="251"/>
      <c r="L132" s="251"/>
      <c r="M132" s="251"/>
      <c r="N132" s="251"/>
      <c r="O132" s="251"/>
    </row>
    <row r="133" spans="1:17" x14ac:dyDescent="0.2">
      <c r="A133" s="250" t="s">
        <v>51</v>
      </c>
      <c r="I133" s="255" t="s">
        <v>19</v>
      </c>
      <c r="J133" s="255"/>
      <c r="K133" s="255"/>
      <c r="L133" s="255"/>
      <c r="M133" s="255"/>
      <c r="N133" s="255"/>
      <c r="O133" s="255"/>
    </row>
    <row r="134" spans="1:17" ht="49" thickBot="1" x14ac:dyDescent="0.25">
      <c r="A134" s="250"/>
      <c r="B134" s="22" t="s">
        <v>12</v>
      </c>
      <c r="C134" s="13" t="s">
        <v>15</v>
      </c>
      <c r="D134" s="13" t="s">
        <v>63</v>
      </c>
      <c r="E134" s="13" t="s">
        <v>29</v>
      </c>
      <c r="F134" s="13" t="s">
        <v>13</v>
      </c>
      <c r="G134" s="13" t="s">
        <v>50</v>
      </c>
      <c r="H134" s="13" t="s">
        <v>17</v>
      </c>
      <c r="I134" s="28" t="s">
        <v>20</v>
      </c>
      <c r="J134" s="28" t="s">
        <v>21</v>
      </c>
      <c r="K134" s="28" t="s">
        <v>22</v>
      </c>
      <c r="L134" s="28" t="s">
        <v>49</v>
      </c>
      <c r="M134" s="28" t="s">
        <v>23</v>
      </c>
      <c r="N134" s="28" t="s">
        <v>24</v>
      </c>
      <c r="O134" s="28" t="s">
        <v>25</v>
      </c>
      <c r="Q134" s="28" t="s">
        <v>32</v>
      </c>
    </row>
    <row r="135" spans="1:17" ht="16" thickTop="1" x14ac:dyDescent="0.2">
      <c r="A135" s="250"/>
      <c r="B135" s="14" t="s">
        <v>0</v>
      </c>
      <c r="C135" s="2">
        <f>VLOOKUP($B135,$B$9:$O$22,2,FALSE)*(1+$C$131)</f>
        <v>85857017.627130434</v>
      </c>
      <c r="D135" s="2">
        <f>VLOOKUP($B135,$B$9:$O$22,3,FALSE)*(1+$C$131)</f>
        <v>16873133.792400796</v>
      </c>
      <c r="E135" s="2">
        <f t="shared" ref="E135:E146" si="102">Q110</f>
        <v>57595125.540551096</v>
      </c>
      <c r="F135" s="4">
        <f t="shared" ref="F135:F146" si="103">C135-E135-D135</f>
        <v>11388758.294178542</v>
      </c>
      <c r="G135" s="1">
        <f>1-H135</f>
        <v>0.8673520393680697</v>
      </c>
      <c r="H135" s="1">
        <f t="shared" ref="H135:H147" si="104">MAX(0,F135/C135)</f>
        <v>0.13264796063193027</v>
      </c>
      <c r="I135" s="29">
        <f>MIN($C$5,($C$4*0.5))*$C$8</f>
        <v>1.9999999799999998E-2</v>
      </c>
      <c r="J135" s="2">
        <f t="shared" ref="J135:J146" si="105">I135*E135</f>
        <v>1151902.4992919967</v>
      </c>
      <c r="K135" s="16">
        <f t="shared" ref="K135:K146" si="106">H135/$H$148</f>
        <v>3.9570163293362833E-2</v>
      </c>
      <c r="L135" s="16">
        <f t="shared" ref="L135:L146" si="107">G135/$G$148</f>
        <v>0.10029767308051661</v>
      </c>
      <c r="M135" s="2">
        <f>$J$148*IF($J$148&lt;0,L135,K135)</f>
        <v>2419448.5430195131</v>
      </c>
      <c r="N135" s="2">
        <f>J135+M135</f>
        <v>3571351.0423115101</v>
      </c>
      <c r="O135" s="16">
        <f t="shared" ref="O135:O147" si="108">N135/E135</f>
        <v>6.2007869742327811E-2</v>
      </c>
      <c r="Q135" s="2">
        <f t="shared" ref="Q135:Q146" si="109">N135+E135</f>
        <v>61166476.582862608</v>
      </c>
    </row>
    <row r="136" spans="1:17" x14ac:dyDescent="0.2">
      <c r="A136" s="250"/>
      <c r="B136" s="14" t="s">
        <v>1</v>
      </c>
      <c r="C136" s="2">
        <f t="shared" ref="C136:C146" si="110">VLOOKUP($B136,$B$9:$O$22,2,FALSE)*(1+$C$131)</f>
        <v>191241296.06733286</v>
      </c>
      <c r="D136" s="2">
        <f t="shared" ref="D136:D146" si="111">VLOOKUP($B136,$B$9:$O$22,3,FALSE)*(1+$C$131)</f>
        <v>64030485.14840512</v>
      </c>
      <c r="E136" s="2">
        <f t="shared" si="102"/>
        <v>71623827.749483839</v>
      </c>
      <c r="F136" s="4">
        <f t="shared" si="103"/>
        <v>55586983.169443905</v>
      </c>
      <c r="G136" s="1">
        <f t="shared" ref="G136:G146" si="112">1-H136</f>
        <v>0.7093358792659894</v>
      </c>
      <c r="H136" s="1">
        <f t="shared" si="104"/>
        <v>0.2906641207340106</v>
      </c>
      <c r="I136" s="29">
        <f t="shared" ref="I136:I146" si="113">MIN($C$5,($C$4*0.5))*$C$8</f>
        <v>1.9999999799999998E-2</v>
      </c>
      <c r="J136" s="2">
        <f t="shared" si="105"/>
        <v>1432476.540664911</v>
      </c>
      <c r="K136" s="16">
        <f t="shared" si="106"/>
        <v>8.670790463851219E-2</v>
      </c>
      <c r="L136" s="16">
        <f t="shared" si="107"/>
        <v>8.2025215706802546E-2</v>
      </c>
      <c r="M136" s="2">
        <f t="shared" ref="M136:M146" si="114">$J$148*IF($J$148&lt;0,L136,K136)</f>
        <v>5301603.4326325571</v>
      </c>
      <c r="N136" s="2">
        <f>J136+M136</f>
        <v>6734079.9732974684</v>
      </c>
      <c r="O136" s="16">
        <f t="shared" si="108"/>
        <v>9.402010734264335E-2</v>
      </c>
      <c r="Q136" s="2">
        <f t="shared" si="109"/>
        <v>78357907.722781301</v>
      </c>
    </row>
    <row r="137" spans="1:17" x14ac:dyDescent="0.2">
      <c r="A137" s="250"/>
      <c r="B137" s="14" t="s">
        <v>2</v>
      </c>
      <c r="C137" s="2">
        <f t="shared" si="110"/>
        <v>129665312.78603704</v>
      </c>
      <c r="D137" s="2">
        <f t="shared" si="111"/>
        <v>32747390.512583364</v>
      </c>
      <c r="E137" s="2">
        <f t="shared" si="102"/>
        <v>56059435.081797615</v>
      </c>
      <c r="F137" s="4">
        <f t="shared" si="103"/>
        <v>40858487.191656068</v>
      </c>
      <c r="G137" s="1">
        <f t="shared" si="112"/>
        <v>0.68489269555785248</v>
      </c>
      <c r="H137" s="1">
        <f t="shared" si="104"/>
        <v>0.31510730444214757</v>
      </c>
      <c r="I137" s="29">
        <f t="shared" si="113"/>
        <v>1.9999999799999998E-2</v>
      </c>
      <c r="J137" s="2">
        <f t="shared" si="105"/>
        <v>1121188.6904240651</v>
      </c>
      <c r="K137" s="16">
        <f t="shared" si="106"/>
        <v>9.3999541585909202E-2</v>
      </c>
      <c r="L137" s="16">
        <f t="shared" si="107"/>
        <v>7.9198688140911425E-2</v>
      </c>
      <c r="M137" s="2">
        <f t="shared" si="114"/>
        <v>5747437.8422056409</v>
      </c>
      <c r="N137" s="2">
        <f t="shared" ref="N137:N143" si="115">J137+M137</f>
        <v>6868626.532629706</v>
      </c>
      <c r="O137" s="16">
        <f t="shared" si="108"/>
        <v>0.12252400550607645</v>
      </c>
      <c r="Q137" s="2">
        <f t="shared" si="109"/>
        <v>62928061.614427321</v>
      </c>
    </row>
    <row r="138" spans="1:17" x14ac:dyDescent="0.2">
      <c r="A138" s="250"/>
      <c r="B138" s="14" t="s">
        <v>3</v>
      </c>
      <c r="C138" s="2">
        <f t="shared" si="110"/>
        <v>553897591.55309188</v>
      </c>
      <c r="D138" s="2">
        <f t="shared" si="111"/>
        <v>198734957.07830042</v>
      </c>
      <c r="E138" s="2">
        <f t="shared" si="102"/>
        <v>111410183.2278733</v>
      </c>
      <c r="F138" s="4">
        <f t="shared" si="103"/>
        <v>243752451.24691814</v>
      </c>
      <c r="G138" s="1">
        <f t="shared" si="112"/>
        <v>0.55993227816092772</v>
      </c>
      <c r="H138" s="1">
        <f t="shared" si="104"/>
        <v>0.44006772183907233</v>
      </c>
      <c r="I138" s="29">
        <f t="shared" si="113"/>
        <v>1.9999999799999998E-2</v>
      </c>
      <c r="J138" s="2">
        <f t="shared" si="105"/>
        <v>2228203.6422754289</v>
      </c>
      <c r="K138" s="16">
        <f t="shared" si="106"/>
        <v>0.13127643674544798</v>
      </c>
      <c r="L138" s="16">
        <f t="shared" si="107"/>
        <v>6.4748685692986058E-2</v>
      </c>
      <c r="M138" s="2">
        <f t="shared" si="114"/>
        <v>8026668.5093473373</v>
      </c>
      <c r="N138" s="2">
        <f t="shared" si="115"/>
        <v>10254872.151622767</v>
      </c>
      <c r="O138" s="16">
        <f t="shared" si="108"/>
        <v>9.2046093584173719E-2</v>
      </c>
      <c r="Q138" s="2">
        <f t="shared" si="109"/>
        <v>121665055.37949607</v>
      </c>
    </row>
    <row r="139" spans="1:17" x14ac:dyDescent="0.2">
      <c r="A139" s="250"/>
      <c r="B139" s="14" t="s">
        <v>4</v>
      </c>
      <c r="C139" s="2">
        <f t="shared" si="110"/>
        <v>190384869.54387504</v>
      </c>
      <c r="D139" s="2">
        <f t="shared" si="111"/>
        <v>35918695.008982815</v>
      </c>
      <c r="E139" s="2">
        <f t="shared" si="102"/>
        <v>75447260.673350841</v>
      </c>
      <c r="F139" s="4">
        <f t="shared" si="103"/>
        <v>79018913.86154139</v>
      </c>
      <c r="G139" s="1">
        <f t="shared" si="112"/>
        <v>0.58495171359543818</v>
      </c>
      <c r="H139" s="1">
        <f t="shared" si="104"/>
        <v>0.41504828640456182</v>
      </c>
      <c r="I139" s="29">
        <f t="shared" si="113"/>
        <v>1.9999999799999998E-2</v>
      </c>
      <c r="J139" s="2">
        <f t="shared" si="105"/>
        <v>1508945.1983775645</v>
      </c>
      <c r="K139" s="16">
        <f t="shared" si="106"/>
        <v>0.12381289836208426</v>
      </c>
      <c r="L139" s="16">
        <f t="shared" si="107"/>
        <v>6.7641849070682047E-2</v>
      </c>
      <c r="M139" s="2">
        <f t="shared" si="114"/>
        <v>7570323.4866208732</v>
      </c>
      <c r="N139" s="2">
        <f t="shared" si="115"/>
        <v>9079268.6849984378</v>
      </c>
      <c r="O139" s="16">
        <f t="shared" si="108"/>
        <v>0.12033927546166534</v>
      </c>
      <c r="Q139" s="2">
        <f t="shared" si="109"/>
        <v>84526529.358349279</v>
      </c>
    </row>
    <row r="140" spans="1:17" x14ac:dyDescent="0.2">
      <c r="A140" s="250"/>
      <c r="B140" s="14" t="s">
        <v>5</v>
      </c>
      <c r="C140" s="2">
        <f t="shared" si="110"/>
        <v>472940498.03249431</v>
      </c>
      <c r="D140" s="2">
        <f t="shared" si="111"/>
        <v>150078281.27167434</v>
      </c>
      <c r="E140" s="2">
        <f t="shared" si="102"/>
        <v>130037113.84264225</v>
      </c>
      <c r="F140" s="4">
        <f t="shared" si="103"/>
        <v>192825102.91817772</v>
      </c>
      <c r="G140" s="1">
        <f t="shared" si="112"/>
        <v>0.5922846452770274</v>
      </c>
      <c r="H140" s="1">
        <f t="shared" si="104"/>
        <v>0.40771535472297254</v>
      </c>
      <c r="I140" s="29">
        <f t="shared" si="113"/>
        <v>1.9999999799999998E-2</v>
      </c>
      <c r="J140" s="2">
        <f t="shared" si="105"/>
        <v>2600742.250845422</v>
      </c>
      <c r="K140" s="16">
        <f t="shared" si="106"/>
        <v>0.12162541426751376</v>
      </c>
      <c r="L140" s="16">
        <f t="shared" si="107"/>
        <v>6.848980463098446E-2</v>
      </c>
      <c r="M140" s="2">
        <f t="shared" si="114"/>
        <v>7436573.5911188079</v>
      </c>
      <c r="N140" s="2">
        <f t="shared" si="115"/>
        <v>10037315.84196423</v>
      </c>
      <c r="O140" s="16">
        <f t="shared" si="108"/>
        <v>7.7188085350082231E-2</v>
      </c>
      <c r="Q140" s="2">
        <f t="shared" si="109"/>
        <v>140074429.68460649</v>
      </c>
    </row>
    <row r="141" spans="1:17" x14ac:dyDescent="0.2">
      <c r="A141" s="250"/>
      <c r="B141" s="14" t="s">
        <v>6</v>
      </c>
      <c r="C141" s="2">
        <f t="shared" si="110"/>
        <v>342397787.99524975</v>
      </c>
      <c r="D141" s="2">
        <f t="shared" si="111"/>
        <v>149478417.03547159</v>
      </c>
      <c r="E141" s="2">
        <f t="shared" si="102"/>
        <v>156941095.85273126</v>
      </c>
      <c r="F141" s="4">
        <f t="shared" si="103"/>
        <v>35978275.107046902</v>
      </c>
      <c r="G141" s="1">
        <f t="shared" si="112"/>
        <v>0.89492258312268635</v>
      </c>
      <c r="H141" s="1">
        <f t="shared" si="104"/>
        <v>0.1050774168773136</v>
      </c>
      <c r="I141" s="29">
        <f t="shared" si="113"/>
        <v>1.9999999799999998E-2</v>
      </c>
      <c r="J141" s="2">
        <f t="shared" si="105"/>
        <v>3138821.8856664058</v>
      </c>
      <c r="K141" s="16">
        <f t="shared" si="106"/>
        <v>3.1345604745612543E-2</v>
      </c>
      <c r="L141" s="16">
        <f t="shared" si="107"/>
        <v>0.10348583804542212</v>
      </c>
      <c r="M141" s="2">
        <f t="shared" si="114"/>
        <v>1916572.2711222274</v>
      </c>
      <c r="N141" s="2">
        <f t="shared" si="115"/>
        <v>5055394.1567886332</v>
      </c>
      <c r="O141" s="16">
        <f t="shared" si="108"/>
        <v>3.2212048280410001E-2</v>
      </c>
      <c r="Q141" s="2">
        <f t="shared" si="109"/>
        <v>161996490.0095199</v>
      </c>
    </row>
    <row r="142" spans="1:17" x14ac:dyDescent="0.2">
      <c r="A142" s="250"/>
      <c r="B142" s="14" t="s">
        <v>7</v>
      </c>
      <c r="C142" s="2">
        <f t="shared" si="110"/>
        <v>381229927.40171397</v>
      </c>
      <c r="D142" s="2">
        <f t="shared" si="111"/>
        <v>153056308.67801231</v>
      </c>
      <c r="E142" s="2">
        <f t="shared" si="102"/>
        <v>96063033.310470968</v>
      </c>
      <c r="F142" s="4">
        <f t="shared" si="103"/>
        <v>132110585.41323072</v>
      </c>
      <c r="G142" s="1">
        <f t="shared" si="112"/>
        <v>0.65346218668184031</v>
      </c>
      <c r="H142" s="1">
        <f t="shared" si="104"/>
        <v>0.34653781331815969</v>
      </c>
      <c r="I142" s="29">
        <f t="shared" si="113"/>
        <v>1.9999999799999998E-2</v>
      </c>
      <c r="J142" s="2">
        <f t="shared" si="105"/>
        <v>1921260.6469968124</v>
      </c>
      <c r="K142" s="16">
        <f t="shared" si="106"/>
        <v>0.10337556487863302</v>
      </c>
      <c r="L142" s="16">
        <f t="shared" si="107"/>
        <v>7.5564169789749988E-2</v>
      </c>
      <c r="M142" s="2">
        <f t="shared" si="114"/>
        <v>6320718.4154172912</v>
      </c>
      <c r="N142" s="2">
        <f t="shared" si="115"/>
        <v>8241979.0624141041</v>
      </c>
      <c r="O142" s="16">
        <f t="shared" si="108"/>
        <v>8.5797614112146925E-2</v>
      </c>
      <c r="Q142" s="2">
        <f t="shared" si="109"/>
        <v>104305012.37288508</v>
      </c>
    </row>
    <row r="143" spans="1:17" x14ac:dyDescent="0.2">
      <c r="A143" s="250"/>
      <c r="B143" s="14" t="s">
        <v>8</v>
      </c>
      <c r="C143" s="2">
        <f t="shared" si="110"/>
        <v>1055504366.8908188</v>
      </c>
      <c r="D143" s="2">
        <f t="shared" si="111"/>
        <v>389425696.23998922</v>
      </c>
      <c r="E143" s="2">
        <f t="shared" si="102"/>
        <v>302958698.80788594</v>
      </c>
      <c r="F143" s="4">
        <f t="shared" si="103"/>
        <v>363119971.84294373</v>
      </c>
      <c r="G143" s="1">
        <f t="shared" si="112"/>
        <v>0.65597492228991905</v>
      </c>
      <c r="H143" s="1">
        <f t="shared" si="104"/>
        <v>0.34402507771008095</v>
      </c>
      <c r="I143" s="29">
        <f t="shared" si="113"/>
        <v>1.9999999799999998E-2</v>
      </c>
      <c r="J143" s="2">
        <f t="shared" si="105"/>
        <v>6059173.9155659787</v>
      </c>
      <c r="K143" s="16">
        <f t="shared" si="106"/>
        <v>0.1026259916635527</v>
      </c>
      <c r="L143" s="16">
        <f t="shared" si="107"/>
        <v>7.5854734085581327E-2</v>
      </c>
      <c r="M143" s="2">
        <f t="shared" si="114"/>
        <v>6274887.069974835</v>
      </c>
      <c r="N143" s="2">
        <f t="shared" si="115"/>
        <v>12334060.985540815</v>
      </c>
      <c r="O143" s="16">
        <f t="shared" si="108"/>
        <v>4.0712021255947389E-2</v>
      </c>
      <c r="Q143" s="2">
        <f t="shared" si="109"/>
        <v>315292759.79342675</v>
      </c>
    </row>
    <row r="144" spans="1:17" x14ac:dyDescent="0.2">
      <c r="A144" s="250"/>
      <c r="B144" s="14" t="s">
        <v>9</v>
      </c>
      <c r="C144" s="2">
        <f t="shared" si="110"/>
        <v>107470986.01209855</v>
      </c>
      <c r="D144" s="2">
        <f t="shared" si="111"/>
        <v>46333920.934033334</v>
      </c>
      <c r="E144" s="2">
        <f t="shared" si="102"/>
        <v>43656586.482615866</v>
      </c>
      <c r="F144" s="4">
        <f t="shared" si="103"/>
        <v>17480478.595449351</v>
      </c>
      <c r="G144" s="1">
        <f t="shared" si="112"/>
        <v>0.83734699713761362</v>
      </c>
      <c r="H144" s="1">
        <f t="shared" si="104"/>
        <v>0.16265300286238638</v>
      </c>
      <c r="I144" s="29">
        <f t="shared" si="113"/>
        <v>1.9999999799999998E-2</v>
      </c>
      <c r="J144" s="2">
        <f t="shared" si="105"/>
        <v>873131.72092099988</v>
      </c>
      <c r="K144" s="16">
        <f t="shared" si="106"/>
        <v>4.8520956166672902E-2</v>
      </c>
      <c r="L144" s="16">
        <f t="shared" si="107"/>
        <v>9.6827990898654237E-2</v>
      </c>
      <c r="M144" s="2">
        <f t="shared" si="114"/>
        <v>2966729.1447104309</v>
      </c>
      <c r="N144" s="2">
        <f>J144+M144</f>
        <v>3839860.8656314309</v>
      </c>
      <c r="O144" s="16">
        <f t="shared" si="108"/>
        <v>8.7956049132711531E-2</v>
      </c>
      <c r="Q144" s="2">
        <f t="shared" si="109"/>
        <v>47496447.348247297</v>
      </c>
    </row>
    <row r="145" spans="1:17" x14ac:dyDescent="0.2">
      <c r="A145" s="250"/>
      <c r="B145" s="14" t="s">
        <v>10</v>
      </c>
      <c r="C145" s="2">
        <f t="shared" si="110"/>
        <v>1441446781.1087141</v>
      </c>
      <c r="D145" s="2">
        <f t="shared" si="111"/>
        <v>955739507.29565871</v>
      </c>
      <c r="E145" s="2">
        <f t="shared" si="102"/>
        <v>346465564.44834894</v>
      </c>
      <c r="F145" s="4">
        <f t="shared" si="103"/>
        <v>139241709.3647064</v>
      </c>
      <c r="G145" s="1">
        <f t="shared" si="112"/>
        <v>0.90340142196744422</v>
      </c>
      <c r="H145" s="1">
        <f t="shared" si="104"/>
        <v>9.6598578032555726E-2</v>
      </c>
      <c r="I145" s="29">
        <f t="shared" si="113"/>
        <v>1.9999999799999998E-2</v>
      </c>
      <c r="J145" s="2">
        <f t="shared" si="105"/>
        <v>6929311.2196738655</v>
      </c>
      <c r="K145" s="16">
        <f t="shared" si="106"/>
        <v>2.8816285515774226E-2</v>
      </c>
      <c r="L145" s="16">
        <f t="shared" si="107"/>
        <v>0.10446630245658958</v>
      </c>
      <c r="M145" s="2">
        <f t="shared" si="114"/>
        <v>1761921.4631360497</v>
      </c>
      <c r="N145" s="2">
        <f t="shared" ref="N145:N146" si="116">J145+M145</f>
        <v>8691232.6828099154</v>
      </c>
      <c r="O145" s="16">
        <f t="shared" si="108"/>
        <v>2.5085415621746744E-2</v>
      </c>
      <c r="Q145" s="2">
        <f t="shared" si="109"/>
        <v>355156797.13115883</v>
      </c>
    </row>
    <row r="146" spans="1:17" x14ac:dyDescent="0.2">
      <c r="A146" s="250"/>
      <c r="B146" s="14" t="s">
        <v>11</v>
      </c>
      <c r="C146" s="2">
        <f t="shared" si="110"/>
        <v>226528594.45100912</v>
      </c>
      <c r="D146" s="2">
        <f t="shared" si="111"/>
        <v>79134801.30006662</v>
      </c>
      <c r="E146" s="2">
        <f t="shared" si="102"/>
        <v>80323416.04540281</v>
      </c>
      <c r="F146" s="4">
        <f t="shared" si="103"/>
        <v>67070377.105539709</v>
      </c>
      <c r="G146" s="1">
        <f t="shared" si="112"/>
        <v>0.70392092323671362</v>
      </c>
      <c r="H146" s="1">
        <f t="shared" si="104"/>
        <v>0.29607907676328643</v>
      </c>
      <c r="I146" s="29">
        <f t="shared" si="113"/>
        <v>1.9999999799999998E-2</v>
      </c>
      <c r="J146" s="2">
        <f t="shared" si="105"/>
        <v>1606468.3048433729</v>
      </c>
      <c r="K146" s="16">
        <f t="shared" si="106"/>
        <v>8.8323238136924428E-2</v>
      </c>
      <c r="L146" s="16">
        <f t="shared" si="107"/>
        <v>8.1399048401119639E-2</v>
      </c>
      <c r="M146" s="2">
        <f t="shared" si="114"/>
        <v>5400370.1789370794</v>
      </c>
      <c r="N146" s="2">
        <f t="shared" si="116"/>
        <v>7006838.4837804521</v>
      </c>
      <c r="O146" s="16">
        <f t="shared" si="108"/>
        <v>8.7232824856699781E-2</v>
      </c>
      <c r="Q146" s="2">
        <f t="shared" si="109"/>
        <v>87330254.529183269</v>
      </c>
    </row>
    <row r="147" spans="1:17" x14ac:dyDescent="0.2">
      <c r="A147" s="250"/>
      <c r="B147" s="15" t="s">
        <v>14</v>
      </c>
      <c r="C147" s="30">
        <f>SUM(C135:C146)</f>
        <v>5178565029.4695654</v>
      </c>
      <c r="D147" s="30">
        <f>SUM(D135:D146)</f>
        <v>2271551594.2955785</v>
      </c>
      <c r="E147" s="30">
        <f>SUM(E135:E146)</f>
        <v>1528581341.0631547</v>
      </c>
      <c r="F147" s="30">
        <f>SUM(F135:F146)</f>
        <v>1378432094.1108327</v>
      </c>
      <c r="G147" s="1">
        <f>1-H147</f>
        <v>0.73381968049708468</v>
      </c>
      <c r="H147" s="11">
        <f t="shared" si="104"/>
        <v>0.26618031950291526</v>
      </c>
      <c r="J147" s="30">
        <f>SUM(J135:J146)</f>
        <v>30571626.515546821</v>
      </c>
      <c r="M147" s="30">
        <f>SUM(M135:M146)</f>
        <v>61143253.948242635</v>
      </c>
      <c r="N147" s="30">
        <f>SUM(N135:N146)</f>
        <v>91714880.463789478</v>
      </c>
      <c r="O147" s="16">
        <f t="shared" si="108"/>
        <v>6.000000000000013E-2</v>
      </c>
      <c r="Q147" s="3">
        <f>SUM(Q135:Q146)</f>
        <v>1620296221.5269442</v>
      </c>
    </row>
    <row r="148" spans="1:17" x14ac:dyDescent="0.2">
      <c r="C148" s="30"/>
      <c r="D148" s="30"/>
      <c r="E148" s="30"/>
      <c r="F148" s="30"/>
      <c r="G148" s="21">
        <f>SUM(G135:G146)</f>
        <v>8.6477782856615217</v>
      </c>
      <c r="H148" s="21">
        <f>SUM(H135:H146)</f>
        <v>3.3522217143384778</v>
      </c>
      <c r="I148" s="10" t="s">
        <v>30</v>
      </c>
      <c r="J148" s="17">
        <f>C130-SUM(J135:J146)</f>
        <v>61143253.948242642</v>
      </c>
    </row>
    <row r="151" spans="1:17" x14ac:dyDescent="0.2">
      <c r="A151" s="250">
        <v>6</v>
      </c>
      <c r="B151" t="s">
        <v>34</v>
      </c>
      <c r="C151" s="4">
        <f>Q147</f>
        <v>1620296221.5269442</v>
      </c>
      <c r="D151" s="4"/>
    </row>
    <row r="152" spans="1:17" x14ac:dyDescent="0.2">
      <c r="A152" s="250"/>
      <c r="B152" t="s">
        <v>27</v>
      </c>
      <c r="C152" s="6">
        <f>C151*(1+C153)</f>
        <v>1717513994.8185608</v>
      </c>
      <c r="D152" s="6"/>
    </row>
    <row r="153" spans="1:17" x14ac:dyDescent="0.2">
      <c r="A153" s="250"/>
      <c r="B153" t="s">
        <v>28</v>
      </c>
      <c r="C153" s="20">
        <f>C4</f>
        <v>0.06</v>
      </c>
      <c r="D153" s="20"/>
    </row>
    <row r="154" spans="1:17" x14ac:dyDescent="0.2">
      <c r="A154" s="250"/>
      <c r="B154" t="s">
        <v>16</v>
      </c>
      <c r="C154" s="20">
        <f>C5</f>
        <v>0.03</v>
      </c>
      <c r="D154" s="20"/>
    </row>
    <row r="155" spans="1:17" x14ac:dyDescent="0.2">
      <c r="A155" s="250"/>
      <c r="B155" t="s">
        <v>31</v>
      </c>
      <c r="C155" s="6">
        <f>C152-C151</f>
        <v>97217773.291616678</v>
      </c>
      <c r="D155" s="6"/>
    </row>
    <row r="156" spans="1:17" x14ac:dyDescent="0.2">
      <c r="A156" s="250"/>
      <c r="B156" t="s">
        <v>48</v>
      </c>
      <c r="C156" s="20">
        <f>((1+$C$5)^A151)-1</f>
        <v>0.19405229652899991</v>
      </c>
      <c r="D156" s="20"/>
    </row>
    <row r="157" spans="1:17" ht="21" x14ac:dyDescent="0.25">
      <c r="A157" s="250"/>
      <c r="F157" s="6"/>
      <c r="G157" s="6"/>
      <c r="I157" s="251" t="s">
        <v>18</v>
      </c>
      <c r="J157" s="251"/>
      <c r="K157" s="251"/>
      <c r="L157" s="251"/>
      <c r="M157" s="251"/>
      <c r="N157" s="251"/>
      <c r="O157" s="251"/>
    </row>
    <row r="158" spans="1:17" x14ac:dyDescent="0.2">
      <c r="A158" s="250" t="s">
        <v>51</v>
      </c>
      <c r="I158" s="255" t="s">
        <v>19</v>
      </c>
      <c r="J158" s="255"/>
      <c r="K158" s="255"/>
      <c r="L158" s="255"/>
      <c r="M158" s="255"/>
      <c r="N158" s="255"/>
      <c r="O158" s="255"/>
    </row>
    <row r="159" spans="1:17" ht="49" thickBot="1" x14ac:dyDescent="0.25">
      <c r="A159" s="250"/>
      <c r="B159" s="22" t="s">
        <v>12</v>
      </c>
      <c r="C159" s="13" t="s">
        <v>15</v>
      </c>
      <c r="D159" s="13" t="s">
        <v>63</v>
      </c>
      <c r="E159" s="13" t="s">
        <v>29</v>
      </c>
      <c r="F159" s="13" t="s">
        <v>13</v>
      </c>
      <c r="G159" s="13" t="s">
        <v>50</v>
      </c>
      <c r="H159" s="13" t="s">
        <v>17</v>
      </c>
      <c r="I159" s="28" t="s">
        <v>20</v>
      </c>
      <c r="J159" s="28" t="s">
        <v>21</v>
      </c>
      <c r="K159" s="28" t="s">
        <v>22</v>
      </c>
      <c r="L159" s="28" t="s">
        <v>49</v>
      </c>
      <c r="M159" s="28" t="s">
        <v>23</v>
      </c>
      <c r="N159" s="28" t="s">
        <v>24</v>
      </c>
      <c r="O159" s="28" t="s">
        <v>25</v>
      </c>
      <c r="Q159" s="28" t="s">
        <v>32</v>
      </c>
    </row>
    <row r="160" spans="1:17" ht="16" thickTop="1" x14ac:dyDescent="0.2">
      <c r="A160" s="250"/>
      <c r="B160" s="14" t="s">
        <v>0</v>
      </c>
      <c r="C160" s="2">
        <f>VLOOKUP($B160,$B$9:$O$22,2,FALSE)*(1+$C$156)</f>
        <v>88432728.155944347</v>
      </c>
      <c r="D160" s="2">
        <f>VLOOKUP($B160,$B$9:$O$22,3,FALSE)*(1+$C$156)</f>
        <v>17379327.806172822</v>
      </c>
      <c r="E160" s="2">
        <f t="shared" ref="E160:E171" si="117">Q135</f>
        <v>61166476.582862608</v>
      </c>
      <c r="F160" s="4">
        <f t="shared" ref="F160:F171" si="118">C160-E160-D160</f>
        <v>9886923.7669089176</v>
      </c>
      <c r="G160" s="1">
        <f>1-H160</f>
        <v>0.88819836305995126</v>
      </c>
      <c r="H160" s="1">
        <f t="shared" ref="H160:H172" si="119">MAX(0,F160/C160)</f>
        <v>0.11180163694004876</v>
      </c>
      <c r="I160" s="29">
        <f>MIN($C$5,($C$4*0.5))*$C$8</f>
        <v>1.9999999799999998E-2</v>
      </c>
      <c r="J160" s="2">
        <f t="shared" ref="J160:J171" si="120">I160*E160</f>
        <v>1223329.5194239567</v>
      </c>
      <c r="K160" s="16">
        <f t="shared" ref="K160:K171" si="121">H160/$H$173</f>
        <v>3.5484060020998728E-2</v>
      </c>
      <c r="L160" s="16">
        <f t="shared" ref="L160:L171" si="122">G160/$G$173</f>
        <v>0.10036997794111263</v>
      </c>
      <c r="M160" s="2">
        <f>$J$173*IF($J$173&lt;0,L160,K160)</f>
        <v>2299787.5465573203</v>
      </c>
      <c r="N160" s="2">
        <f>J160+M160</f>
        <v>3523117.0659812773</v>
      </c>
      <c r="O160" s="16">
        <f t="shared" ref="O160:O172" si="123">N160/E160</f>
        <v>5.7598823126725117E-2</v>
      </c>
      <c r="Q160" s="2">
        <f t="shared" ref="Q160:Q171" si="124">N160+E160</f>
        <v>64689593.648843884</v>
      </c>
    </row>
    <row r="161" spans="1:17" x14ac:dyDescent="0.2">
      <c r="A161" s="250"/>
      <c r="B161" s="14" t="s">
        <v>1</v>
      </c>
      <c r="C161" s="2">
        <f t="shared" ref="C161:C171" si="125">VLOOKUP($B161,$B$9:$O$22,2,FALSE)*(1+$C$156)</f>
        <v>196978534.94935286</v>
      </c>
      <c r="D161" s="2">
        <f t="shared" ref="D161:D171" si="126">VLOOKUP($B161,$B$9:$O$22,3,FALSE)*(1+$C$156)</f>
        <v>65951399.702857271</v>
      </c>
      <c r="E161" s="2">
        <f t="shared" si="117"/>
        <v>78357907.722781301</v>
      </c>
      <c r="F161" s="4">
        <f t="shared" si="118"/>
        <v>52669227.523714289</v>
      </c>
      <c r="G161" s="1">
        <f t="shared" ref="G161:G171" si="127">1-H161</f>
        <v>0.7326143808651201</v>
      </c>
      <c r="H161" s="1">
        <f t="shared" si="119"/>
        <v>0.2673856191348799</v>
      </c>
      <c r="I161" s="29">
        <f t="shared" ref="I161:I171" si="128">MIN($C$5,($C$4*0.5))*$C$8</f>
        <v>1.9999999799999998E-2</v>
      </c>
      <c r="J161" s="2">
        <f t="shared" si="120"/>
        <v>1567158.1387840442</v>
      </c>
      <c r="K161" s="16">
        <f t="shared" si="121"/>
        <v>8.4863939543404737E-2</v>
      </c>
      <c r="L161" s="16">
        <f t="shared" si="122"/>
        <v>8.2788363844136834E-2</v>
      </c>
      <c r="M161" s="2">
        <f t="shared" ref="M161:M171" si="129">$J$173*IF($J$173&lt;0,L161,K161)</f>
        <v>5500188.8509437358</v>
      </c>
      <c r="N161" s="2">
        <f>J161+M161</f>
        <v>7067346.9897277802</v>
      </c>
      <c r="O161" s="16">
        <f t="shared" si="123"/>
        <v>9.0193155931766453E-2</v>
      </c>
      <c r="Q161" s="2">
        <f t="shared" si="124"/>
        <v>85425254.712509081</v>
      </c>
    </row>
    <row r="162" spans="1:17" x14ac:dyDescent="0.2">
      <c r="A162" s="250"/>
      <c r="B162" s="14" t="s">
        <v>2</v>
      </c>
      <c r="C162" s="2">
        <f t="shared" si="125"/>
        <v>133555272.16961816</v>
      </c>
      <c r="D162" s="2">
        <f t="shared" si="126"/>
        <v>33729812.22796087</v>
      </c>
      <c r="E162" s="2">
        <f t="shared" si="117"/>
        <v>62928061.614427321</v>
      </c>
      <c r="F162" s="4">
        <f t="shared" si="118"/>
        <v>36897398.327229962</v>
      </c>
      <c r="G162" s="1">
        <f t="shared" si="127"/>
        <v>0.72372937640103463</v>
      </c>
      <c r="H162" s="1">
        <f t="shared" si="119"/>
        <v>0.27627062359896543</v>
      </c>
      <c r="I162" s="29">
        <f t="shared" si="128"/>
        <v>1.9999999799999998E-2</v>
      </c>
      <c r="J162" s="2">
        <f t="shared" si="120"/>
        <v>1258561.2197029339</v>
      </c>
      <c r="K162" s="16">
        <f t="shared" si="121"/>
        <v>8.7683898537918498E-2</v>
      </c>
      <c r="L162" s="16">
        <f t="shared" si="122"/>
        <v>8.1784322698424033E-2</v>
      </c>
      <c r="M162" s="2">
        <f t="shared" si="129"/>
        <v>5682955.6080044322</v>
      </c>
      <c r="N162" s="2">
        <f t="shared" ref="N162:N168" si="130">J162+M162</f>
        <v>6941516.8277073661</v>
      </c>
      <c r="O162" s="16">
        <f t="shared" si="123"/>
        <v>0.11030876606750439</v>
      </c>
      <c r="Q162" s="2">
        <f t="shared" si="124"/>
        <v>69869578.442134693</v>
      </c>
    </row>
    <row r="163" spans="1:17" x14ac:dyDescent="0.2">
      <c r="A163" s="250"/>
      <c r="B163" s="14" t="s">
        <v>3</v>
      </c>
      <c r="C163" s="2">
        <f t="shared" si="125"/>
        <v>570514519.29968476</v>
      </c>
      <c r="D163" s="2">
        <f t="shared" si="126"/>
        <v>204697005.79064944</v>
      </c>
      <c r="E163" s="2">
        <f t="shared" si="117"/>
        <v>121665055.37949607</v>
      </c>
      <c r="F163" s="4">
        <f t="shared" si="118"/>
        <v>244152458.12953922</v>
      </c>
      <c r="G163" s="1">
        <f t="shared" si="127"/>
        <v>0.57204865105056379</v>
      </c>
      <c r="H163" s="1">
        <f t="shared" si="119"/>
        <v>0.42795134894943615</v>
      </c>
      <c r="I163" s="29">
        <f t="shared" si="128"/>
        <v>1.9999999799999998E-2</v>
      </c>
      <c r="J163" s="2">
        <f t="shared" si="120"/>
        <v>2433301.0832569101</v>
      </c>
      <c r="K163" s="16">
        <f t="shared" si="121"/>
        <v>0.13582494646596308</v>
      </c>
      <c r="L163" s="16">
        <f t="shared" si="122"/>
        <v>6.4643792282369758E-2</v>
      </c>
      <c r="M163" s="2">
        <f t="shared" si="129"/>
        <v>8803065.9459313117</v>
      </c>
      <c r="N163" s="2">
        <f t="shared" si="130"/>
        <v>11236367.029188221</v>
      </c>
      <c r="O163" s="16">
        <f t="shared" si="123"/>
        <v>9.2354924708166128E-2</v>
      </c>
      <c r="Q163" s="2">
        <f t="shared" si="124"/>
        <v>132901422.40868428</v>
      </c>
    </row>
    <row r="164" spans="1:17" x14ac:dyDescent="0.2">
      <c r="A164" s="250"/>
      <c r="B164" s="14" t="s">
        <v>4</v>
      </c>
      <c r="C164" s="2">
        <f t="shared" si="125"/>
        <v>196096415.6301913</v>
      </c>
      <c r="D164" s="2">
        <f t="shared" si="126"/>
        <v>36996255.859252296</v>
      </c>
      <c r="E164" s="2">
        <f t="shared" si="117"/>
        <v>84526529.358349279</v>
      </c>
      <c r="F164" s="4">
        <f t="shared" si="118"/>
        <v>74573630.412589729</v>
      </c>
      <c r="G164" s="1">
        <f t="shared" si="127"/>
        <v>0.61970936504405816</v>
      </c>
      <c r="H164" s="1">
        <f t="shared" si="119"/>
        <v>0.38029063495594184</v>
      </c>
      <c r="I164" s="29">
        <f t="shared" si="128"/>
        <v>1.9999999799999998E-2</v>
      </c>
      <c r="J164" s="2">
        <f t="shared" si="120"/>
        <v>1690530.5702616796</v>
      </c>
      <c r="K164" s="16">
        <f t="shared" si="121"/>
        <v>0.12069819445878385</v>
      </c>
      <c r="L164" s="16">
        <f t="shared" si="122"/>
        <v>7.0029644149630879E-2</v>
      </c>
      <c r="M164" s="2">
        <f t="shared" si="129"/>
        <v>7822673.1761810426</v>
      </c>
      <c r="N164" s="2">
        <f t="shared" si="130"/>
        <v>9513203.7464427222</v>
      </c>
      <c r="O164" s="16">
        <f t="shared" si="123"/>
        <v>0.11254695796288525</v>
      </c>
      <c r="Q164" s="2">
        <f t="shared" si="124"/>
        <v>94039733.104791999</v>
      </c>
    </row>
    <row r="165" spans="1:17" x14ac:dyDescent="0.2">
      <c r="A165" s="250"/>
      <c r="B165" s="14" t="s">
        <v>5</v>
      </c>
      <c r="C165" s="2">
        <f t="shared" si="125"/>
        <v>487128712.9734692</v>
      </c>
      <c r="D165" s="2">
        <f t="shared" si="126"/>
        <v>154580629.70982459</v>
      </c>
      <c r="E165" s="2">
        <f t="shared" si="117"/>
        <v>140074429.68460649</v>
      </c>
      <c r="F165" s="4">
        <f t="shared" si="118"/>
        <v>192473653.57903811</v>
      </c>
      <c r="G165" s="1">
        <f t="shared" si="127"/>
        <v>0.60488132098770175</v>
      </c>
      <c r="H165" s="1">
        <f t="shared" si="119"/>
        <v>0.39511867901229819</v>
      </c>
      <c r="I165" s="29">
        <f t="shared" si="128"/>
        <v>1.9999999799999998E-2</v>
      </c>
      <c r="J165" s="2">
        <f t="shared" si="120"/>
        <v>2801488.5656772438</v>
      </c>
      <c r="K165" s="16">
        <f t="shared" si="121"/>
        <v>0.1254043796246764</v>
      </c>
      <c r="L165" s="16">
        <f t="shared" si="122"/>
        <v>6.8354015690106365E-2</v>
      </c>
      <c r="M165" s="2">
        <f t="shared" si="129"/>
        <v>8127689.7393902</v>
      </c>
      <c r="N165" s="2">
        <f t="shared" si="130"/>
        <v>10929178.305067444</v>
      </c>
      <c r="O165" s="16">
        <f t="shared" si="123"/>
        <v>7.8024078553635606E-2</v>
      </c>
      <c r="Q165" s="2">
        <f t="shared" si="124"/>
        <v>151003607.98967394</v>
      </c>
    </row>
    <row r="166" spans="1:17" x14ac:dyDescent="0.2">
      <c r="A166" s="250"/>
      <c r="B166" s="14" t="s">
        <v>6</v>
      </c>
      <c r="C166" s="2">
        <f t="shared" si="125"/>
        <v>352669721.63510722</v>
      </c>
      <c r="D166" s="2">
        <f t="shared" si="126"/>
        <v>153962769.54653576</v>
      </c>
      <c r="E166" s="2">
        <f t="shared" si="117"/>
        <v>161996490.0095199</v>
      </c>
      <c r="F166" s="4">
        <f t="shared" si="118"/>
        <v>36710462.079051554</v>
      </c>
      <c r="G166" s="1">
        <f t="shared" si="127"/>
        <v>0.89590696386168822</v>
      </c>
      <c r="H166" s="1">
        <f t="shared" si="119"/>
        <v>0.10409303613831174</v>
      </c>
      <c r="I166" s="29">
        <f t="shared" si="128"/>
        <v>1.9999999799999998E-2</v>
      </c>
      <c r="J166" s="2">
        <f t="shared" si="120"/>
        <v>3239929.7677910998</v>
      </c>
      <c r="K166" s="16">
        <f t="shared" si="121"/>
        <v>3.3037472824127619E-2</v>
      </c>
      <c r="L166" s="16">
        <f t="shared" si="122"/>
        <v>0.10124108075395913</v>
      </c>
      <c r="M166" s="2">
        <f t="shared" si="129"/>
        <v>2141219.7061354229</v>
      </c>
      <c r="N166" s="2">
        <f t="shared" si="130"/>
        <v>5381149.4739265228</v>
      </c>
      <c r="O166" s="16">
        <f t="shared" si="123"/>
        <v>3.3217691775977942E-2</v>
      </c>
      <c r="Q166" s="2">
        <f t="shared" si="124"/>
        <v>167377639.48344642</v>
      </c>
    </row>
    <row r="167" spans="1:17" x14ac:dyDescent="0.2">
      <c r="A167" s="250"/>
      <c r="B167" s="14" t="s">
        <v>7</v>
      </c>
      <c r="C167" s="2">
        <f t="shared" si="125"/>
        <v>392666825.22376543</v>
      </c>
      <c r="D167" s="2">
        <f t="shared" si="126"/>
        <v>157647997.93835267</v>
      </c>
      <c r="E167" s="2">
        <f t="shared" si="117"/>
        <v>104305012.37288508</v>
      </c>
      <c r="F167" s="4">
        <f t="shared" si="118"/>
        <v>130713814.91252771</v>
      </c>
      <c r="G167" s="1">
        <f t="shared" si="127"/>
        <v>0.66711266010812342</v>
      </c>
      <c r="H167" s="1">
        <f t="shared" si="119"/>
        <v>0.33288733989187663</v>
      </c>
      <c r="I167" s="29">
        <f t="shared" si="128"/>
        <v>1.9999999799999998E-2</v>
      </c>
      <c r="J167" s="2">
        <f t="shared" si="120"/>
        <v>2086100.2265966989</v>
      </c>
      <c r="K167" s="16">
        <f t="shared" si="121"/>
        <v>0.10565314312247495</v>
      </c>
      <c r="L167" s="16">
        <f t="shared" si="122"/>
        <v>7.538640664525724E-2</v>
      </c>
      <c r="M167" s="2">
        <f t="shared" si="129"/>
        <v>6847575.5779895457</v>
      </c>
      <c r="N167" s="2">
        <f t="shared" si="130"/>
        <v>8933675.8045862447</v>
      </c>
      <c r="O167" s="16">
        <f t="shared" si="123"/>
        <v>8.5649534968164437E-2</v>
      </c>
      <c r="Q167" s="2">
        <f t="shared" si="124"/>
        <v>113238688.17747132</v>
      </c>
    </row>
    <row r="168" spans="1:17" x14ac:dyDescent="0.2">
      <c r="A168" s="250"/>
      <c r="B168" s="14" t="s">
        <v>8</v>
      </c>
      <c r="C168" s="2">
        <f t="shared" si="125"/>
        <v>1087169497.8975434</v>
      </c>
      <c r="D168" s="2">
        <f t="shared" si="126"/>
        <v>401108467.12718892</v>
      </c>
      <c r="E168" s="2">
        <f t="shared" si="117"/>
        <v>315292759.79342675</v>
      </c>
      <c r="F168" s="4">
        <f t="shared" si="118"/>
        <v>370768270.97692776</v>
      </c>
      <c r="G168" s="1">
        <f t="shared" si="127"/>
        <v>0.65896001341653765</v>
      </c>
      <c r="H168" s="1">
        <f t="shared" si="119"/>
        <v>0.34103998658346241</v>
      </c>
      <c r="I168" s="29">
        <f t="shared" si="128"/>
        <v>1.9999999799999998E-2</v>
      </c>
      <c r="J168" s="2">
        <f t="shared" si="120"/>
        <v>6305855.1328099826</v>
      </c>
      <c r="K168" s="16">
        <f t="shared" si="121"/>
        <v>0.10824066341691707</v>
      </c>
      <c r="L168" s="16">
        <f t="shared" si="122"/>
        <v>7.4465124865613935E-2</v>
      </c>
      <c r="M168" s="2">
        <f t="shared" si="129"/>
        <v>7015277.5530764097</v>
      </c>
      <c r="N168" s="2">
        <f t="shared" si="130"/>
        <v>13321132.685886392</v>
      </c>
      <c r="O168" s="16">
        <f t="shared" si="123"/>
        <v>4.2250043085715387E-2</v>
      </c>
      <c r="Q168" s="2">
        <f t="shared" si="124"/>
        <v>328613892.47931314</v>
      </c>
    </row>
    <row r="169" spans="1:17" x14ac:dyDescent="0.2">
      <c r="A169" s="250"/>
      <c r="B169" s="14" t="s">
        <v>9</v>
      </c>
      <c r="C169" s="2">
        <f t="shared" si="125"/>
        <v>110695115.59246151</v>
      </c>
      <c r="D169" s="2">
        <f t="shared" si="126"/>
        <v>47723938.562054336</v>
      </c>
      <c r="E169" s="2">
        <f t="shared" si="117"/>
        <v>47496447.348247297</v>
      </c>
      <c r="F169" s="4">
        <f t="shared" si="118"/>
        <v>15474729.682159878</v>
      </c>
      <c r="G169" s="1">
        <f t="shared" si="127"/>
        <v>0.86020404243370496</v>
      </c>
      <c r="H169" s="1">
        <f t="shared" si="119"/>
        <v>0.13979595756629509</v>
      </c>
      <c r="I169" s="29">
        <f t="shared" si="128"/>
        <v>1.9999999799999998E-2</v>
      </c>
      <c r="J169" s="2">
        <f t="shared" si="120"/>
        <v>949928.93746565632</v>
      </c>
      <c r="K169" s="16">
        <f t="shared" si="121"/>
        <v>4.4369011802889644E-2</v>
      </c>
      <c r="L169" s="16">
        <f t="shared" si="122"/>
        <v>9.7206507414041729E-2</v>
      </c>
      <c r="M169" s="2">
        <f t="shared" si="129"/>
        <v>2875637.701462449</v>
      </c>
      <c r="N169" s="2">
        <f>J169+M169</f>
        <v>3825566.6389281051</v>
      </c>
      <c r="O169" s="16">
        <f t="shared" si="123"/>
        <v>8.0544269150885778E-2</v>
      </c>
      <c r="Q169" s="2">
        <f t="shared" si="124"/>
        <v>51322013.987175405</v>
      </c>
    </row>
    <row r="170" spans="1:17" x14ac:dyDescent="0.2">
      <c r="A170" s="250"/>
      <c r="B170" s="14" t="s">
        <v>10</v>
      </c>
      <c r="C170" s="2">
        <f t="shared" si="125"/>
        <v>1484690184.5419757</v>
      </c>
      <c r="D170" s="2">
        <f t="shared" si="126"/>
        <v>984411692.51452863</v>
      </c>
      <c r="E170" s="2">
        <f t="shared" si="117"/>
        <v>355156797.13115883</v>
      </c>
      <c r="F170" s="4">
        <f t="shared" si="118"/>
        <v>145121694.89628828</v>
      </c>
      <c r="G170" s="1">
        <f t="shared" si="127"/>
        <v>0.90225456030676321</v>
      </c>
      <c r="H170" s="1">
        <f t="shared" si="119"/>
        <v>9.7745439693236777E-2</v>
      </c>
      <c r="I170" s="29">
        <f t="shared" si="128"/>
        <v>1.9999999799999998E-2</v>
      </c>
      <c r="J170" s="2">
        <f t="shared" si="120"/>
        <v>7103135.8715918167</v>
      </c>
      <c r="K170" s="16">
        <f t="shared" si="121"/>
        <v>3.1022846746989789E-2</v>
      </c>
      <c r="L170" s="16">
        <f t="shared" si="122"/>
        <v>0.10195838461497543</v>
      </c>
      <c r="M170" s="2">
        <f t="shared" si="129"/>
        <v>2010648.0646595214</v>
      </c>
      <c r="N170" s="2">
        <f t="shared" ref="N170:N171" si="131">J170+M170</f>
        <v>9113783.9362513386</v>
      </c>
      <c r="O170" s="16">
        <f t="shared" si="123"/>
        <v>2.5661296671975656E-2</v>
      </c>
      <c r="Q170" s="2">
        <f t="shared" si="124"/>
        <v>364270581.06741017</v>
      </c>
    </row>
    <row r="171" spans="1:17" x14ac:dyDescent="0.2">
      <c r="A171" s="250"/>
      <c r="B171" s="14" t="s">
        <v>11</v>
      </c>
      <c r="C171" s="2">
        <f t="shared" si="125"/>
        <v>233324452.28453943</v>
      </c>
      <c r="D171" s="2">
        <f t="shared" si="126"/>
        <v>81508845.339068621</v>
      </c>
      <c r="E171" s="2">
        <f t="shared" si="117"/>
        <v>87330254.529183269</v>
      </c>
      <c r="F171" s="4">
        <f t="shared" si="118"/>
        <v>64485352.416287541</v>
      </c>
      <c r="G171" s="1">
        <f t="shared" si="127"/>
        <v>0.72362368459501369</v>
      </c>
      <c r="H171" s="1">
        <f t="shared" si="119"/>
        <v>0.27637631540498631</v>
      </c>
      <c r="I171" s="29">
        <f t="shared" si="128"/>
        <v>1.9999999799999998E-2</v>
      </c>
      <c r="J171" s="2">
        <f t="shared" si="120"/>
        <v>1746605.0731176143</v>
      </c>
      <c r="K171" s="16">
        <f t="shared" si="121"/>
        <v>8.7717443434855769E-2</v>
      </c>
      <c r="L171" s="16">
        <f t="shared" si="122"/>
        <v>8.1772379100371995E-2</v>
      </c>
      <c r="M171" s="2">
        <f t="shared" si="129"/>
        <v>5685129.7148056617</v>
      </c>
      <c r="N171" s="2">
        <f t="shared" si="131"/>
        <v>7431734.7879232764</v>
      </c>
      <c r="O171" s="16">
        <f t="shared" si="123"/>
        <v>8.5099199904882947E-2</v>
      </c>
      <c r="Q171" s="2">
        <f t="shared" si="124"/>
        <v>94761989.317106545</v>
      </c>
    </row>
    <row r="172" spans="1:17" x14ac:dyDescent="0.2">
      <c r="A172" s="250"/>
      <c r="B172" s="15" t="s">
        <v>14</v>
      </c>
      <c r="C172" s="30">
        <f>SUM(C160:C171)</f>
        <v>5333921980.353653</v>
      </c>
      <c r="D172" s="30">
        <f>SUM(D160:D171)</f>
        <v>2339698142.1244459</v>
      </c>
      <c r="E172" s="30">
        <f>SUM(E160:E171)</f>
        <v>1620296221.5269442</v>
      </c>
      <c r="F172" s="30">
        <f>SUM(F160:F171)</f>
        <v>1373927616.7022629</v>
      </c>
      <c r="G172" s="1">
        <f>1-H172</f>
        <v>0.74241700164291347</v>
      </c>
      <c r="H172" s="11">
        <f t="shared" si="119"/>
        <v>0.25758299835708653</v>
      </c>
      <c r="J172" s="30">
        <f>SUM(J160:J171)</f>
        <v>32405924.106479637</v>
      </c>
      <c r="K172" s="16"/>
      <c r="L172" s="16"/>
      <c r="M172" s="30">
        <f>SUM(M160:M171)</f>
        <v>64811849.185137056</v>
      </c>
      <c r="N172" s="30">
        <f>SUM(N160:N171)</f>
        <v>97217773.291616693</v>
      </c>
      <c r="O172" s="16">
        <f t="shared" si="123"/>
        <v>6.0000000000000026E-2</v>
      </c>
      <c r="Q172" s="3">
        <f>SUM(Q160:Q171)</f>
        <v>1717513994.8185611</v>
      </c>
    </row>
    <row r="173" spans="1:17" x14ac:dyDescent="0.2">
      <c r="C173" s="30"/>
      <c r="D173" s="30"/>
      <c r="E173" s="30"/>
      <c r="F173" s="30"/>
      <c r="G173" s="21">
        <f>SUM(G160:G171)</f>
        <v>8.8492433821302612</v>
      </c>
      <c r="H173" s="21">
        <f>SUM(H160:H171)</f>
        <v>3.1507566178697388</v>
      </c>
      <c r="I173" s="10" t="s">
        <v>30</v>
      </c>
      <c r="J173" s="17">
        <f>C155-SUM(J160:J171)</f>
        <v>64811849.185137041</v>
      </c>
    </row>
    <row r="176" spans="1:17" x14ac:dyDescent="0.2">
      <c r="A176" s="250">
        <v>7</v>
      </c>
      <c r="B176" t="s">
        <v>34</v>
      </c>
      <c r="C176" s="4">
        <f>Q172</f>
        <v>1717513994.8185611</v>
      </c>
      <c r="D176" s="4"/>
    </row>
    <row r="177" spans="1:17" x14ac:dyDescent="0.2">
      <c r="A177" s="250"/>
      <c r="B177" t="s">
        <v>27</v>
      </c>
      <c r="C177" s="6">
        <f>C176*(1+C178)</f>
        <v>1820564834.5076749</v>
      </c>
      <c r="D177" s="6"/>
    </row>
    <row r="178" spans="1:17" x14ac:dyDescent="0.2">
      <c r="A178" s="250"/>
      <c r="B178" t="s">
        <v>28</v>
      </c>
      <c r="C178" s="20">
        <f>C4</f>
        <v>0.06</v>
      </c>
      <c r="D178" s="20"/>
    </row>
    <row r="179" spans="1:17" x14ac:dyDescent="0.2">
      <c r="A179" s="250"/>
      <c r="B179" t="s">
        <v>16</v>
      </c>
      <c r="C179" s="20">
        <f>C5</f>
        <v>0.03</v>
      </c>
      <c r="D179" s="20"/>
    </row>
    <row r="180" spans="1:17" x14ac:dyDescent="0.2">
      <c r="A180" s="250"/>
      <c r="B180" t="s">
        <v>31</v>
      </c>
      <c r="C180" s="6">
        <f>C177-C176</f>
        <v>103050839.68911386</v>
      </c>
      <c r="D180" s="6"/>
    </row>
    <row r="181" spans="1:17" x14ac:dyDescent="0.2">
      <c r="A181" s="250"/>
      <c r="B181" t="s">
        <v>48</v>
      </c>
      <c r="C181" s="20">
        <f>((1+$C$5)^A176)-1</f>
        <v>0.22987386542486998</v>
      </c>
      <c r="D181" s="20"/>
    </row>
    <row r="182" spans="1:17" ht="21" x14ac:dyDescent="0.25">
      <c r="A182" s="250"/>
      <c r="F182" s="6"/>
      <c r="G182" s="6"/>
      <c r="I182" s="251" t="s">
        <v>18</v>
      </c>
      <c r="J182" s="251"/>
      <c r="K182" s="251"/>
      <c r="L182" s="251"/>
      <c r="M182" s="251"/>
      <c r="N182" s="251"/>
      <c r="O182" s="251"/>
    </row>
    <row r="183" spans="1:17" x14ac:dyDescent="0.2">
      <c r="A183" s="250" t="s">
        <v>51</v>
      </c>
      <c r="I183" s="255" t="s">
        <v>19</v>
      </c>
      <c r="J183" s="255"/>
      <c r="K183" s="255"/>
      <c r="L183" s="255"/>
      <c r="M183" s="255"/>
      <c r="N183" s="255"/>
      <c r="O183" s="255"/>
    </row>
    <row r="184" spans="1:17" ht="49" thickBot="1" x14ac:dyDescent="0.25">
      <c r="A184" s="250"/>
      <c r="B184" s="22" t="s">
        <v>12</v>
      </c>
      <c r="C184" s="13" t="s">
        <v>15</v>
      </c>
      <c r="D184" s="13" t="s">
        <v>63</v>
      </c>
      <c r="E184" s="13" t="s">
        <v>29</v>
      </c>
      <c r="F184" s="13" t="s">
        <v>13</v>
      </c>
      <c r="G184" s="13" t="s">
        <v>50</v>
      </c>
      <c r="H184" s="13" t="s">
        <v>17</v>
      </c>
      <c r="I184" s="28" t="s">
        <v>20</v>
      </c>
      <c r="J184" s="28" t="s">
        <v>21</v>
      </c>
      <c r="K184" s="28" t="s">
        <v>22</v>
      </c>
      <c r="L184" s="28" t="s">
        <v>49</v>
      </c>
      <c r="M184" s="28" t="s">
        <v>23</v>
      </c>
      <c r="N184" s="28" t="s">
        <v>24</v>
      </c>
      <c r="O184" s="28" t="s">
        <v>25</v>
      </c>
      <c r="Q184" s="28" t="s">
        <v>32</v>
      </c>
    </row>
    <row r="185" spans="1:17" ht="16" thickTop="1" x14ac:dyDescent="0.2">
      <c r="A185" s="250"/>
      <c r="B185" s="14" t="s">
        <v>0</v>
      </c>
      <c r="C185" s="2">
        <f>VLOOKUP($B185,$B$9:$O$22,2,FALSE)*(1+$C$181)</f>
        <v>91085710.00062269</v>
      </c>
      <c r="D185" s="2">
        <f>VLOOKUP($B185,$B$9:$O$22,3,FALSE)*(1+$C$181)</f>
        <v>17900707.640358005</v>
      </c>
      <c r="E185" s="2">
        <f t="shared" ref="E185:E196" si="132">Q160</f>
        <v>64689593.648843884</v>
      </c>
      <c r="F185" s="4">
        <f t="shared" ref="F185:F196" si="133">C185-E185-D185</f>
        <v>8495408.7114208005</v>
      </c>
      <c r="G185" s="1">
        <f>1-H185</f>
        <v>0.90673170674782333</v>
      </c>
      <c r="H185" s="1">
        <f t="shared" ref="H185:H197" si="134">MAX(0,F185/C185)</f>
        <v>9.3268293252176698E-2</v>
      </c>
      <c r="I185" s="29">
        <f>MIN($C$5,($C$4*0.5))*$C$8</f>
        <v>1.9999999799999998E-2</v>
      </c>
      <c r="J185" s="2">
        <f t="shared" ref="J185:J196" si="135">I185*E185</f>
        <v>1293791.8600389587</v>
      </c>
      <c r="K185" s="16">
        <f t="shared" ref="K185:K196" si="136">H185/$H$198</f>
        <v>3.1594202975621405E-2</v>
      </c>
      <c r="L185" s="16">
        <f t="shared" ref="L185:L196" si="137">G185/$G$198</f>
        <v>0.10021426881282092</v>
      </c>
      <c r="M185" s="2">
        <f>$J$198*IF($J$198&lt;0,L185,K185)</f>
        <v>2170539.4414834231</v>
      </c>
      <c r="N185" s="2">
        <f>J185+M185</f>
        <v>3464331.3015223816</v>
      </c>
      <c r="O185" s="16">
        <f t="shared" ref="O185:O197" si="138">N185/E185</f>
        <v>5.3553146744558279E-2</v>
      </c>
      <c r="Q185" s="2">
        <f t="shared" ref="Q185:Q196" si="139">N185+E185</f>
        <v>68153924.950366259</v>
      </c>
    </row>
    <row r="186" spans="1:17" x14ac:dyDescent="0.2">
      <c r="A186" s="250"/>
      <c r="B186" s="14" t="s">
        <v>1</v>
      </c>
      <c r="C186" s="2">
        <f t="shared" ref="C186:C196" si="140">VLOOKUP($B186,$B$9:$O$22,2,FALSE)*(1+$C$181)</f>
        <v>202887890.99783346</v>
      </c>
      <c r="D186" s="2">
        <f t="shared" ref="D186:D196" si="141">VLOOKUP($B186,$B$9:$O$22,3,FALSE)*(1+$C$181)</f>
        <v>67929941.693942994</v>
      </c>
      <c r="E186" s="2">
        <f t="shared" si="132"/>
        <v>85425254.712509081</v>
      </c>
      <c r="F186" s="4">
        <f t="shared" si="133"/>
        <v>49532694.591381386</v>
      </c>
      <c r="G186" s="1">
        <f t="shared" ref="G186:G196" si="142">1-H186</f>
        <v>0.75586175031061698</v>
      </c>
      <c r="H186" s="1">
        <f t="shared" si="134"/>
        <v>0.244138249689383</v>
      </c>
      <c r="I186" s="29">
        <f t="shared" ref="I186:I196" si="143">MIN($C$5,($C$4*0.5))*$C$8</f>
        <v>1.9999999799999998E-2</v>
      </c>
      <c r="J186" s="2">
        <f t="shared" si="135"/>
        <v>1708505.0771651305</v>
      </c>
      <c r="K186" s="16">
        <f t="shared" si="136"/>
        <v>8.2700702948901569E-2</v>
      </c>
      <c r="L186" s="16">
        <f t="shared" si="137"/>
        <v>8.3539741764014727E-2</v>
      </c>
      <c r="M186" s="2">
        <f t="shared" ref="M186:M196" si="144">$J$198*IF($J$198&lt;0,L186,K186)</f>
        <v>5681584.6162507832</v>
      </c>
      <c r="N186" s="2">
        <f>J186+M186</f>
        <v>7390089.6934159137</v>
      </c>
      <c r="O186" s="16">
        <f t="shared" si="138"/>
        <v>8.6509425324941533E-2</v>
      </c>
      <c r="Q186" s="2">
        <f t="shared" si="139"/>
        <v>92815344.405924991</v>
      </c>
    </row>
    <row r="187" spans="1:17" x14ac:dyDescent="0.2">
      <c r="A187" s="250"/>
      <c r="B187" s="14" t="s">
        <v>2</v>
      </c>
      <c r="C187" s="2">
        <f t="shared" si="140"/>
        <v>137561930.33470672</v>
      </c>
      <c r="D187" s="2">
        <f t="shared" si="141"/>
        <v>34741706.594799697</v>
      </c>
      <c r="E187" s="2">
        <f t="shared" si="132"/>
        <v>69869578.442134693</v>
      </c>
      <c r="F187" s="4">
        <f t="shared" si="133"/>
        <v>32950645.297772333</v>
      </c>
      <c r="G187" s="1">
        <f t="shared" si="142"/>
        <v>0.76046682961195033</v>
      </c>
      <c r="H187" s="1">
        <f t="shared" si="134"/>
        <v>0.23953317038804972</v>
      </c>
      <c r="I187" s="29">
        <f t="shared" si="143"/>
        <v>1.9999999799999998E-2</v>
      </c>
      <c r="J187" s="2">
        <f t="shared" si="135"/>
        <v>1397391.554868778</v>
      </c>
      <c r="K187" s="16">
        <f t="shared" si="136"/>
        <v>8.1140753633952983E-2</v>
      </c>
      <c r="L187" s="16">
        <f t="shared" si="137"/>
        <v>8.404870671094862E-2</v>
      </c>
      <c r="M187" s="2">
        <f t="shared" si="144"/>
        <v>5574415.2245296631</v>
      </c>
      <c r="N187" s="2">
        <f t="shared" ref="N187:N193" si="145">J187+M187</f>
        <v>6971806.7793984413</v>
      </c>
      <c r="O187" s="16">
        <f t="shared" si="138"/>
        <v>9.9783152193660712E-2</v>
      </c>
      <c r="Q187" s="2">
        <f t="shared" si="139"/>
        <v>76841385.221533135</v>
      </c>
    </row>
    <row r="188" spans="1:17" x14ac:dyDescent="0.2">
      <c r="A188" s="250"/>
      <c r="B188" s="14" t="s">
        <v>3</v>
      </c>
      <c r="C188" s="2">
        <f t="shared" si="140"/>
        <v>587629954.87867534</v>
      </c>
      <c r="D188" s="2">
        <f t="shared" si="141"/>
        <v>210837915.96436894</v>
      </c>
      <c r="E188" s="2">
        <f t="shared" si="132"/>
        <v>132901422.40868428</v>
      </c>
      <c r="F188" s="4">
        <f t="shared" si="133"/>
        <v>243890616.50562215</v>
      </c>
      <c r="G188" s="1">
        <f t="shared" si="142"/>
        <v>0.58495884275338406</v>
      </c>
      <c r="H188" s="1">
        <f t="shared" si="134"/>
        <v>0.415041157246616</v>
      </c>
      <c r="I188" s="29">
        <f t="shared" si="143"/>
        <v>1.9999999799999998E-2</v>
      </c>
      <c r="J188" s="2">
        <f t="shared" si="135"/>
        <v>2658028.4215934011</v>
      </c>
      <c r="K188" s="16">
        <f t="shared" si="136"/>
        <v>0.14059327246218647</v>
      </c>
      <c r="L188" s="16">
        <f t="shared" si="137"/>
        <v>6.4651122571175043E-2</v>
      </c>
      <c r="M188" s="2">
        <f t="shared" si="144"/>
        <v>9658836.5695399828</v>
      </c>
      <c r="N188" s="2">
        <f t="shared" si="145"/>
        <v>12316864.991133384</v>
      </c>
      <c r="O188" s="16">
        <f t="shared" si="138"/>
        <v>9.2676698021017967E-2</v>
      </c>
      <c r="Q188" s="2">
        <f t="shared" si="139"/>
        <v>145218287.39981768</v>
      </c>
    </row>
    <row r="189" spans="1:17" x14ac:dyDescent="0.2">
      <c r="A189" s="250"/>
      <c r="B189" s="14" t="s">
        <v>4</v>
      </c>
      <c r="C189" s="2">
        <f t="shared" si="140"/>
        <v>201979308.09909704</v>
      </c>
      <c r="D189" s="2">
        <f t="shared" si="141"/>
        <v>38106143.535029873</v>
      </c>
      <c r="E189" s="2">
        <f t="shared" si="132"/>
        <v>94039733.104791999</v>
      </c>
      <c r="F189" s="4">
        <f t="shared" si="133"/>
        <v>69833431.459275171</v>
      </c>
      <c r="G189" s="1">
        <f t="shared" si="142"/>
        <v>0.65425452678047191</v>
      </c>
      <c r="H189" s="1">
        <f t="shared" si="134"/>
        <v>0.34574547321952809</v>
      </c>
      <c r="I189" s="29">
        <f t="shared" si="143"/>
        <v>1.9999999799999998E-2</v>
      </c>
      <c r="J189" s="2">
        <f t="shared" si="135"/>
        <v>1880794.6432878932</v>
      </c>
      <c r="K189" s="16">
        <f t="shared" si="136"/>
        <v>0.11711967998883811</v>
      </c>
      <c r="L189" s="16">
        <f t="shared" si="137"/>
        <v>7.2309855860172328E-2</v>
      </c>
      <c r="M189" s="2">
        <f t="shared" si="144"/>
        <v>8046187.6182109946</v>
      </c>
      <c r="N189" s="2">
        <f t="shared" si="145"/>
        <v>9926982.2614988871</v>
      </c>
      <c r="O189" s="16">
        <f t="shared" si="138"/>
        <v>0.10556157417457659</v>
      </c>
      <c r="Q189" s="2">
        <f t="shared" si="139"/>
        <v>103966715.36629088</v>
      </c>
    </row>
    <row r="190" spans="1:17" x14ac:dyDescent="0.2">
      <c r="A190" s="250"/>
      <c r="B190" s="14" t="s">
        <v>5</v>
      </c>
      <c r="C190" s="2">
        <f t="shared" si="140"/>
        <v>501742574.36267328</v>
      </c>
      <c r="D190" s="2">
        <f t="shared" si="141"/>
        <v>159218048.60111931</v>
      </c>
      <c r="E190" s="2">
        <f t="shared" si="132"/>
        <v>151003607.98967394</v>
      </c>
      <c r="F190" s="4">
        <f t="shared" si="133"/>
        <v>191520917.77188</v>
      </c>
      <c r="G190" s="1">
        <f t="shared" si="142"/>
        <v>0.61828848585321872</v>
      </c>
      <c r="H190" s="1">
        <f t="shared" si="134"/>
        <v>0.38171151414678123</v>
      </c>
      <c r="I190" s="29">
        <f t="shared" si="143"/>
        <v>1.9999999799999998E-2</v>
      </c>
      <c r="J190" s="2">
        <f t="shared" si="135"/>
        <v>3020072.1295927567</v>
      </c>
      <c r="K190" s="16">
        <f t="shared" si="136"/>
        <v>0.12930301001089384</v>
      </c>
      <c r="L190" s="16">
        <f t="shared" si="137"/>
        <v>6.8334798556238113E-2</v>
      </c>
      <c r="M190" s="2">
        <f t="shared" si="144"/>
        <v>8883189.2150509581</v>
      </c>
      <c r="N190" s="2">
        <f t="shared" si="145"/>
        <v>11903261.344643716</v>
      </c>
      <c r="O190" s="16">
        <f t="shared" si="138"/>
        <v>7.8827661822873096E-2</v>
      </c>
      <c r="Q190" s="2">
        <f t="shared" si="139"/>
        <v>162906869.33431765</v>
      </c>
    </row>
    <row r="191" spans="1:17" x14ac:dyDescent="0.2">
      <c r="A191" s="250"/>
      <c r="B191" s="14" t="s">
        <v>6</v>
      </c>
      <c r="C191" s="2">
        <f t="shared" si="140"/>
        <v>363249813.28416049</v>
      </c>
      <c r="D191" s="2">
        <f t="shared" si="141"/>
        <v>158581652.63293183</v>
      </c>
      <c r="E191" s="2">
        <f t="shared" si="132"/>
        <v>167377639.48344642</v>
      </c>
      <c r="F191" s="4">
        <f t="shared" si="133"/>
        <v>37290521.167782247</v>
      </c>
      <c r="G191" s="1">
        <f t="shared" si="142"/>
        <v>0.89734193988804367</v>
      </c>
      <c r="H191" s="1">
        <f t="shared" si="134"/>
        <v>0.10265806011195629</v>
      </c>
      <c r="I191" s="29">
        <f t="shared" si="143"/>
        <v>1.9999999799999998E-2</v>
      </c>
      <c r="J191" s="2">
        <f t="shared" si="135"/>
        <v>3347552.7561933999</v>
      </c>
      <c r="K191" s="16">
        <f t="shared" si="136"/>
        <v>3.4774943071931852E-2</v>
      </c>
      <c r="L191" s="16">
        <f t="shared" si="137"/>
        <v>9.9176488162631984E-2</v>
      </c>
      <c r="M191" s="2">
        <f t="shared" si="144"/>
        <v>2389058.0677477662</v>
      </c>
      <c r="N191" s="2">
        <f t="shared" si="145"/>
        <v>5736610.8239411656</v>
      </c>
      <c r="O191" s="16">
        <f t="shared" si="138"/>
        <v>3.4273459953463578E-2</v>
      </c>
      <c r="Q191" s="2">
        <f t="shared" si="139"/>
        <v>173114250.30738759</v>
      </c>
    </row>
    <row r="192" spans="1:17" x14ac:dyDescent="0.2">
      <c r="A192" s="250"/>
      <c r="B192" s="14" t="s">
        <v>7</v>
      </c>
      <c r="C192" s="2">
        <f t="shared" si="140"/>
        <v>404446829.98047841</v>
      </c>
      <c r="D192" s="2">
        <f t="shared" si="141"/>
        <v>162377437.87650329</v>
      </c>
      <c r="E192" s="2">
        <f t="shared" si="132"/>
        <v>113238688.17747132</v>
      </c>
      <c r="F192" s="4">
        <f t="shared" si="133"/>
        <v>128830703.92650378</v>
      </c>
      <c r="G192" s="1">
        <f t="shared" si="142"/>
        <v>0.68146442405613095</v>
      </c>
      <c r="H192" s="1">
        <f t="shared" si="134"/>
        <v>0.31853557594386905</v>
      </c>
      <c r="I192" s="29">
        <f t="shared" si="143"/>
        <v>1.9999999799999998E-2</v>
      </c>
      <c r="J192" s="2">
        <f t="shared" si="135"/>
        <v>2264773.7409016886</v>
      </c>
      <c r="K192" s="16">
        <f t="shared" si="136"/>
        <v>0.1079024531318117</v>
      </c>
      <c r="L192" s="16">
        <f t="shared" si="137"/>
        <v>7.531716214455543E-2</v>
      </c>
      <c r="M192" s="2">
        <f t="shared" si="144"/>
        <v>7412958.970230435</v>
      </c>
      <c r="N192" s="2">
        <f t="shared" si="145"/>
        <v>9677732.7111321241</v>
      </c>
      <c r="O192" s="16">
        <f t="shared" si="138"/>
        <v>8.5463129844500399E-2</v>
      </c>
      <c r="Q192" s="2">
        <f t="shared" si="139"/>
        <v>122916420.88860345</v>
      </c>
    </row>
    <row r="193" spans="1:17" x14ac:dyDescent="0.2">
      <c r="A193" s="250"/>
      <c r="B193" s="14" t="s">
        <v>8</v>
      </c>
      <c r="C193" s="2">
        <f t="shared" si="140"/>
        <v>1119784582.8344698</v>
      </c>
      <c r="D193" s="2">
        <f t="shared" si="141"/>
        <v>413141721.14100462</v>
      </c>
      <c r="E193" s="2">
        <f t="shared" si="132"/>
        <v>328613892.47931314</v>
      </c>
      <c r="F193" s="4">
        <f t="shared" si="133"/>
        <v>378028969.21415204</v>
      </c>
      <c r="G193" s="1">
        <f t="shared" si="142"/>
        <v>0.662409203511928</v>
      </c>
      <c r="H193" s="1">
        <f t="shared" si="134"/>
        <v>0.33759079648807194</v>
      </c>
      <c r="I193" s="29">
        <f t="shared" si="143"/>
        <v>1.9999999799999998E-2</v>
      </c>
      <c r="J193" s="2">
        <f t="shared" si="135"/>
        <v>6572277.7838634839</v>
      </c>
      <c r="K193" s="16">
        <f t="shared" si="136"/>
        <v>0.11435732096123589</v>
      </c>
      <c r="L193" s="16">
        <f t="shared" si="137"/>
        <v>7.3211131242919128E-2</v>
      </c>
      <c r="M193" s="2">
        <f t="shared" si="144"/>
        <v>7856412.0057173083</v>
      </c>
      <c r="N193" s="2">
        <f t="shared" si="145"/>
        <v>14428689.789580792</v>
      </c>
      <c r="O193" s="16">
        <f t="shared" si="138"/>
        <v>4.3907729161173872E-2</v>
      </c>
      <c r="Q193" s="2">
        <f t="shared" si="139"/>
        <v>343042582.26889396</v>
      </c>
    </row>
    <row r="194" spans="1:17" x14ac:dyDescent="0.2">
      <c r="A194" s="250"/>
      <c r="B194" s="14" t="s">
        <v>9</v>
      </c>
      <c r="C194" s="2">
        <f t="shared" si="140"/>
        <v>114015969.06023537</v>
      </c>
      <c r="D194" s="2">
        <f t="shared" si="141"/>
        <v>49155656.718915969</v>
      </c>
      <c r="E194" s="2">
        <f t="shared" si="132"/>
        <v>51322013.987175405</v>
      </c>
      <c r="F194" s="4">
        <f t="shared" si="133"/>
        <v>13538298.354143992</v>
      </c>
      <c r="G194" s="1">
        <f t="shared" si="142"/>
        <v>0.88125962998225604</v>
      </c>
      <c r="H194" s="1">
        <f t="shared" si="134"/>
        <v>0.11874037001774394</v>
      </c>
      <c r="I194" s="29">
        <f t="shared" si="143"/>
        <v>1.9999999799999998E-2</v>
      </c>
      <c r="J194" s="2">
        <f t="shared" si="135"/>
        <v>1026440.2694791051</v>
      </c>
      <c r="K194" s="16">
        <f t="shared" si="136"/>
        <v>4.0222751172231182E-2</v>
      </c>
      <c r="L194" s="16">
        <f t="shared" si="137"/>
        <v>9.7399030822124616E-2</v>
      </c>
      <c r="M194" s="2">
        <f t="shared" si="144"/>
        <v>2763325.5357531053</v>
      </c>
      <c r="N194" s="2">
        <f>J194+M194</f>
        <v>3789765.8052322106</v>
      </c>
      <c r="O194" s="16">
        <f t="shared" si="138"/>
        <v>7.3842889450503948E-2</v>
      </c>
      <c r="Q194" s="2">
        <f t="shared" si="139"/>
        <v>55111779.792407617</v>
      </c>
    </row>
    <row r="195" spans="1:17" x14ac:dyDescent="0.2">
      <c r="A195" s="250"/>
      <c r="B195" s="14" t="s">
        <v>10</v>
      </c>
      <c r="C195" s="2">
        <f t="shared" si="140"/>
        <v>1529230890.0782349</v>
      </c>
      <c r="D195" s="2">
        <f t="shared" si="141"/>
        <v>1013944043.2899646</v>
      </c>
      <c r="E195" s="2">
        <f t="shared" si="132"/>
        <v>364270581.06741017</v>
      </c>
      <c r="F195" s="4">
        <f t="shared" si="133"/>
        <v>151016265.72086012</v>
      </c>
      <c r="G195" s="1">
        <f t="shared" si="142"/>
        <v>0.90124691653780664</v>
      </c>
      <c r="H195" s="1">
        <f t="shared" si="134"/>
        <v>9.8753083462193331E-2</v>
      </c>
      <c r="I195" s="29">
        <f t="shared" si="143"/>
        <v>1.9999999799999998E-2</v>
      </c>
      <c r="J195" s="2">
        <f t="shared" si="135"/>
        <v>7285411.5484940866</v>
      </c>
      <c r="K195" s="16">
        <f t="shared" si="136"/>
        <v>3.3452150292245235E-2</v>
      </c>
      <c r="L195" s="16">
        <f t="shared" si="137"/>
        <v>9.9608076003638163E-2</v>
      </c>
      <c r="M195" s="2">
        <f t="shared" si="144"/>
        <v>2298181.4628391145</v>
      </c>
      <c r="N195" s="2">
        <f t="shared" ref="N195:N196" si="146">J195+M195</f>
        <v>9583593.0113332011</v>
      </c>
      <c r="O195" s="16">
        <f t="shared" si="138"/>
        <v>2.6308995316752487E-2</v>
      </c>
      <c r="Q195" s="2">
        <f t="shared" si="139"/>
        <v>373854174.0787434</v>
      </c>
    </row>
    <row r="196" spans="1:17" x14ac:dyDescent="0.2">
      <c r="A196" s="250"/>
      <c r="B196" s="14" t="s">
        <v>11</v>
      </c>
      <c r="C196" s="2">
        <f t="shared" si="140"/>
        <v>240324185.85307562</v>
      </c>
      <c r="D196" s="2">
        <f t="shared" si="141"/>
        <v>83954110.699240685</v>
      </c>
      <c r="E196" s="2">
        <f t="shared" si="132"/>
        <v>94761989.317106545</v>
      </c>
      <c r="F196" s="4">
        <f t="shared" si="133"/>
        <v>61608085.836728394</v>
      </c>
      <c r="G196" s="1">
        <f t="shared" si="142"/>
        <v>0.74364591887396192</v>
      </c>
      <c r="H196" s="1">
        <f t="shared" si="134"/>
        <v>0.25635408112603802</v>
      </c>
      <c r="I196" s="29">
        <f t="shared" si="143"/>
        <v>1.9999999799999998E-2</v>
      </c>
      <c r="J196" s="2">
        <f t="shared" si="135"/>
        <v>1895239.7673897329</v>
      </c>
      <c r="K196" s="16">
        <f t="shared" si="136"/>
        <v>8.6838759350149675E-2</v>
      </c>
      <c r="L196" s="16">
        <f t="shared" si="137"/>
        <v>8.2189617348760846E-2</v>
      </c>
      <c r="M196" s="2">
        <f t="shared" si="144"/>
        <v>5965871.4088919042</v>
      </c>
      <c r="N196" s="2">
        <f t="shared" si="146"/>
        <v>7861111.1762816366</v>
      </c>
      <c r="O196" s="16">
        <f t="shared" si="138"/>
        <v>8.2956375577718483E-2</v>
      </c>
      <c r="Q196" s="2">
        <f t="shared" si="139"/>
        <v>102623100.49338818</v>
      </c>
    </row>
    <row r="197" spans="1:17" x14ac:dyDescent="0.2">
      <c r="A197" s="250"/>
      <c r="B197" s="15" t="s">
        <v>14</v>
      </c>
      <c r="C197" s="30">
        <f>SUM(C185:C196)</f>
        <v>5493939639.7642632</v>
      </c>
      <c r="D197" s="30">
        <f>SUM(D185:D196)</f>
        <v>2409889086.3881798</v>
      </c>
      <c r="E197" s="30">
        <f>SUM(E185:E196)</f>
        <v>1717513994.8185611</v>
      </c>
      <c r="F197" s="26">
        <f>SUM(F185:F196)</f>
        <v>1366536558.5575225</v>
      </c>
      <c r="G197" s="1">
        <f>1-H197</f>
        <v>0.75126473020075646</v>
      </c>
      <c r="H197" s="11">
        <f t="shared" si="134"/>
        <v>0.24873526979924349</v>
      </c>
      <c r="J197" s="30">
        <f>SUM(J185:J196)</f>
        <v>34350279.552868411</v>
      </c>
      <c r="K197" s="16"/>
      <c r="L197" s="16"/>
      <c r="M197" s="30">
        <f>SUM(M185:M196)</f>
        <v>68700560.136245444</v>
      </c>
      <c r="N197" s="30">
        <f>SUM(N185:N196)</f>
        <v>103050839.68911384</v>
      </c>
      <c r="O197" s="16">
        <f t="shared" si="138"/>
        <v>6.0000000000000102E-2</v>
      </c>
      <c r="Q197" s="3">
        <f>SUM(Q185:Q196)</f>
        <v>1820564834.5076747</v>
      </c>
    </row>
    <row r="198" spans="1:17" x14ac:dyDescent="0.2">
      <c r="C198" s="30"/>
      <c r="D198" s="30"/>
      <c r="E198" s="30"/>
      <c r="F198" s="26"/>
      <c r="G198" s="21">
        <f>SUM(G185:G196)</f>
        <v>9.0479301749075933</v>
      </c>
      <c r="H198" s="21">
        <f>SUM(H185:H196)</f>
        <v>2.9520698250924076</v>
      </c>
      <c r="I198" s="10" t="s">
        <v>30</v>
      </c>
      <c r="J198" s="17">
        <f>C180-SUM(J185:J196)</f>
        <v>68700560.136245444</v>
      </c>
    </row>
    <row r="201" spans="1:17" x14ac:dyDescent="0.2">
      <c r="A201" s="250">
        <v>8</v>
      </c>
      <c r="B201" t="s">
        <v>34</v>
      </c>
      <c r="C201" s="4">
        <f>Q197</f>
        <v>1820564834.5076747</v>
      </c>
      <c r="D201" s="4"/>
    </row>
    <row r="202" spans="1:17" x14ac:dyDescent="0.2">
      <c r="A202" s="250"/>
      <c r="B202" t="s">
        <v>27</v>
      </c>
      <c r="C202" s="6">
        <f>C201*(1+C203)</f>
        <v>1929798724.5781353</v>
      </c>
      <c r="D202" s="6"/>
    </row>
    <row r="203" spans="1:17" x14ac:dyDescent="0.2">
      <c r="A203" s="250"/>
      <c r="B203" t="s">
        <v>28</v>
      </c>
      <c r="C203" s="20">
        <f>C4</f>
        <v>0.06</v>
      </c>
      <c r="D203" s="20"/>
    </row>
    <row r="204" spans="1:17" x14ac:dyDescent="0.2">
      <c r="A204" s="250"/>
      <c r="B204" t="s">
        <v>16</v>
      </c>
      <c r="C204" s="20">
        <f>C5</f>
        <v>0.03</v>
      </c>
      <c r="D204" s="20"/>
    </row>
    <row r="205" spans="1:17" x14ac:dyDescent="0.2">
      <c r="A205" s="250"/>
      <c r="B205" t="s">
        <v>31</v>
      </c>
      <c r="C205" s="6">
        <f>C202-C201</f>
        <v>109233890.07046056</v>
      </c>
      <c r="D205" s="6"/>
    </row>
    <row r="206" spans="1:17" x14ac:dyDescent="0.2">
      <c r="A206" s="250"/>
      <c r="B206" t="s">
        <v>48</v>
      </c>
      <c r="C206" s="20">
        <f>((1+$C$5)^A201)-1</f>
        <v>0.26677008138761593</v>
      </c>
      <c r="D206" s="20"/>
    </row>
    <row r="207" spans="1:17" ht="21" x14ac:dyDescent="0.25">
      <c r="A207" s="250"/>
      <c r="F207" s="6"/>
      <c r="G207" s="6"/>
      <c r="I207" s="251" t="s">
        <v>18</v>
      </c>
      <c r="J207" s="251"/>
      <c r="K207" s="251"/>
      <c r="L207" s="251"/>
      <c r="M207" s="251"/>
      <c r="N207" s="251"/>
      <c r="O207" s="251"/>
    </row>
    <row r="208" spans="1:17" x14ac:dyDescent="0.2">
      <c r="A208" s="250" t="s">
        <v>51</v>
      </c>
      <c r="I208" s="255" t="s">
        <v>19</v>
      </c>
      <c r="J208" s="255"/>
      <c r="K208" s="255"/>
      <c r="L208" s="255"/>
      <c r="M208" s="255"/>
      <c r="N208" s="255"/>
      <c r="O208" s="255"/>
    </row>
    <row r="209" spans="1:17" ht="49" thickBot="1" x14ac:dyDescent="0.25">
      <c r="A209" s="250"/>
      <c r="B209" s="22" t="s">
        <v>12</v>
      </c>
      <c r="C209" s="13" t="s">
        <v>15</v>
      </c>
      <c r="D209" s="13" t="s">
        <v>63</v>
      </c>
      <c r="E209" s="13" t="s">
        <v>29</v>
      </c>
      <c r="F209" s="13" t="s">
        <v>13</v>
      </c>
      <c r="G209" s="13" t="s">
        <v>50</v>
      </c>
      <c r="H209" s="13" t="s">
        <v>17</v>
      </c>
      <c r="I209" s="28" t="s">
        <v>20</v>
      </c>
      <c r="J209" s="28" t="s">
        <v>21</v>
      </c>
      <c r="K209" s="28" t="s">
        <v>22</v>
      </c>
      <c r="L209" s="28" t="s">
        <v>49</v>
      </c>
      <c r="M209" s="28" t="s">
        <v>23</v>
      </c>
      <c r="N209" s="28" t="s">
        <v>24</v>
      </c>
      <c r="O209" s="28" t="s">
        <v>25</v>
      </c>
      <c r="Q209" s="28" t="s">
        <v>32</v>
      </c>
    </row>
    <row r="210" spans="1:17" ht="16" thickTop="1" x14ac:dyDescent="0.2">
      <c r="A210" s="250"/>
      <c r="B210" s="14" t="s">
        <v>0</v>
      </c>
      <c r="C210" s="2">
        <f>VLOOKUP($B210,$B$9:$O$22,2,FALSE)*(1+$C$206)</f>
        <v>93818281.300641358</v>
      </c>
      <c r="D210" s="2">
        <f>VLOOKUP($B210,$B$9:$O$22,3,FALSE)*(1+$C$206)</f>
        <v>18437728.869568743</v>
      </c>
      <c r="E210" s="2">
        <f t="shared" ref="E210:E221" si="147">Q185</f>
        <v>68153924.950366259</v>
      </c>
      <c r="F210" s="4">
        <f t="shared" ref="F210:F221" si="148">C210-E210-D210</f>
        <v>7226627.4807063565</v>
      </c>
      <c r="G210" s="1">
        <f>1-H210</f>
        <v>0.92297207558568917</v>
      </c>
      <c r="H210" s="1">
        <f t="shared" ref="H210:H222" si="149">MAX(0,F210/C210)</f>
        <v>7.7027924414310861E-2</v>
      </c>
      <c r="I210" s="29">
        <f>MIN($C$5,($C$4*0.5))*$C$8</f>
        <v>1.9999999799999998E-2</v>
      </c>
      <c r="J210" s="2">
        <f t="shared" ref="J210:J221" si="150">I210*E210</f>
        <v>1363078.4853765401</v>
      </c>
      <c r="K210" s="16">
        <f t="shared" ref="K210:K221" si="151">H210/$H$223</f>
        <v>2.7943071185375045E-2</v>
      </c>
      <c r="L210" s="16">
        <f t="shared" ref="L210:L221" si="152">G210/$G$223</f>
        <v>9.9852031711762546E-2</v>
      </c>
      <c r="M210" s="2">
        <f>$J$223*IF($J$223&lt;0,L210,K210)</f>
        <v>2034886.9209039761</v>
      </c>
      <c r="N210" s="2">
        <f>J210+M210</f>
        <v>3397965.4062805162</v>
      </c>
      <c r="O210" s="16">
        <f t="shared" ref="O210:O222" si="153">N210/E210</f>
        <v>4.98572225848345E-2</v>
      </c>
      <c r="Q210" s="2">
        <f t="shared" ref="Q210:Q221" si="154">N210+E210</f>
        <v>71551890.356646776</v>
      </c>
    </row>
    <row r="211" spans="1:17" x14ac:dyDescent="0.2">
      <c r="A211" s="250"/>
      <c r="B211" s="14" t="s">
        <v>1</v>
      </c>
      <c r="C211" s="2">
        <f t="shared" ref="C211:C221" si="155">VLOOKUP($B211,$B$9:$O$22,2,FALSE)*(1+$C$206)</f>
        <v>208974527.72776845</v>
      </c>
      <c r="D211" s="2">
        <f t="shared" ref="D211:D221" si="156">VLOOKUP($B211,$B$9:$O$22,3,FALSE)*(1+$C$206)</f>
        <v>69967839.944761276</v>
      </c>
      <c r="E211" s="2">
        <f t="shared" si="147"/>
        <v>92815344.405924991</v>
      </c>
      <c r="F211" s="4">
        <f t="shared" si="148"/>
        <v>46191343.377082184</v>
      </c>
      <c r="G211" s="1">
        <f t="shared" ref="G211:G221" si="157">1-H211</f>
        <v>0.77896184822460401</v>
      </c>
      <c r="H211" s="1">
        <f t="shared" si="149"/>
        <v>0.22103815177539601</v>
      </c>
      <c r="I211" s="29">
        <f t="shared" ref="I211:I221" si="158">MIN($C$5,($C$4*0.5))*$C$8</f>
        <v>1.9999999799999998E-2</v>
      </c>
      <c r="J211" s="2">
        <f t="shared" si="150"/>
        <v>1856306.8695554307</v>
      </c>
      <c r="K211" s="16">
        <f t="shared" si="151"/>
        <v>8.0185008965347485E-2</v>
      </c>
      <c r="L211" s="16">
        <f t="shared" si="152"/>
        <v>8.4272238812662881E-2</v>
      </c>
      <c r="M211" s="2">
        <f t="shared" ref="M211:M221" si="159">$J$223*IF($J$223&lt;0,L211,K211)</f>
        <v>5839280.3322761767</v>
      </c>
      <c r="N211" s="2">
        <f>J211+M211</f>
        <v>7695587.2018316071</v>
      </c>
      <c r="O211" s="16">
        <f t="shared" si="153"/>
        <v>8.2912876648662731E-2</v>
      </c>
      <c r="Q211" s="2">
        <f t="shared" si="154"/>
        <v>100510931.6077566</v>
      </c>
    </row>
    <row r="212" spans="1:17" x14ac:dyDescent="0.2">
      <c r="A212" s="250"/>
      <c r="B212" s="14" t="s">
        <v>2</v>
      </c>
      <c r="C212" s="2">
        <f t="shared" si="155"/>
        <v>141688788.24474791</v>
      </c>
      <c r="D212" s="2">
        <f t="shared" si="156"/>
        <v>35783957.792643681</v>
      </c>
      <c r="E212" s="2">
        <f t="shared" si="147"/>
        <v>76841385.221533135</v>
      </c>
      <c r="F212" s="4">
        <f t="shared" si="148"/>
        <v>29063445.230571091</v>
      </c>
      <c r="G212" s="1">
        <f t="shared" si="157"/>
        <v>0.79487829918929087</v>
      </c>
      <c r="H212" s="1">
        <f t="shared" si="149"/>
        <v>0.20512170081070907</v>
      </c>
      <c r="I212" s="29">
        <f t="shared" si="158"/>
        <v>1.9999999799999998E-2</v>
      </c>
      <c r="J212" s="2">
        <f t="shared" si="150"/>
        <v>1536827.6890623856</v>
      </c>
      <c r="K212" s="16">
        <f t="shared" si="151"/>
        <v>7.4411070154111011E-2</v>
      </c>
      <c r="L212" s="16">
        <f t="shared" si="152"/>
        <v>8.5994165194299185E-2</v>
      </c>
      <c r="M212" s="2">
        <f t="shared" si="159"/>
        <v>5418807.1319203638</v>
      </c>
      <c r="N212" s="2">
        <f t="shared" ref="N212:N218" si="160">J212+M212</f>
        <v>6955634.8209827496</v>
      </c>
      <c r="O212" s="16">
        <f t="shared" si="153"/>
        <v>9.051938354481387E-2</v>
      </c>
      <c r="Q212" s="2">
        <f t="shared" si="154"/>
        <v>83797020.042515889</v>
      </c>
    </row>
    <row r="213" spans="1:17" x14ac:dyDescent="0.2">
      <c r="A213" s="250"/>
      <c r="B213" s="14" t="s">
        <v>3</v>
      </c>
      <c r="C213" s="2">
        <f t="shared" si="155"/>
        <v>605258853.5250355</v>
      </c>
      <c r="D213" s="2">
        <f t="shared" si="156"/>
        <v>217163053.44329998</v>
      </c>
      <c r="E213" s="2">
        <f t="shared" si="147"/>
        <v>145218287.39981768</v>
      </c>
      <c r="F213" s="4">
        <f t="shared" si="148"/>
        <v>242877512.68191782</v>
      </c>
      <c r="G213" s="1">
        <f t="shared" si="157"/>
        <v>0.59872125576124002</v>
      </c>
      <c r="H213" s="1">
        <f t="shared" si="149"/>
        <v>0.40127874423875998</v>
      </c>
      <c r="I213" s="29">
        <f t="shared" si="158"/>
        <v>1.9999999799999998E-2</v>
      </c>
      <c r="J213" s="2">
        <f t="shared" si="150"/>
        <v>2904365.7189526958</v>
      </c>
      <c r="K213" s="16">
        <f t="shared" si="151"/>
        <v>0.14557007216149712</v>
      </c>
      <c r="L213" s="16">
        <f t="shared" si="152"/>
        <v>6.4772852178481E-2</v>
      </c>
      <c r="M213" s="2">
        <f t="shared" si="159"/>
        <v>10600790.22636261</v>
      </c>
      <c r="N213" s="2">
        <f t="shared" si="160"/>
        <v>13505155.945315305</v>
      </c>
      <c r="O213" s="16">
        <f t="shared" si="153"/>
        <v>9.2999002998380362E-2</v>
      </c>
      <c r="Q213" s="2">
        <f t="shared" si="154"/>
        <v>158723443.34513298</v>
      </c>
    </row>
    <row r="214" spans="1:17" x14ac:dyDescent="0.2">
      <c r="A214" s="250"/>
      <c r="B214" s="14" t="s">
        <v>4</v>
      </c>
      <c r="C214" s="2">
        <f t="shared" si="155"/>
        <v>208038687.34206992</v>
      </c>
      <c r="D214" s="2">
        <f t="shared" si="156"/>
        <v>39249327.841080762</v>
      </c>
      <c r="E214" s="2">
        <f t="shared" si="147"/>
        <v>103966715.36629088</v>
      </c>
      <c r="F214" s="4">
        <f t="shared" si="148"/>
        <v>64822644.134698279</v>
      </c>
      <c r="G214" s="1">
        <f t="shared" si="157"/>
        <v>0.68841062706710443</v>
      </c>
      <c r="H214" s="1">
        <f t="shared" si="149"/>
        <v>0.31158937293289551</v>
      </c>
      <c r="I214" s="29">
        <f t="shared" si="158"/>
        <v>1.9999999799999998E-2</v>
      </c>
      <c r="J214" s="2">
        <f t="shared" si="150"/>
        <v>2079334.2865324744</v>
      </c>
      <c r="K214" s="16">
        <f t="shared" si="151"/>
        <v>0.11303386524657102</v>
      </c>
      <c r="L214" s="16">
        <f t="shared" si="152"/>
        <v>7.4475925743472907E-2</v>
      </c>
      <c r="M214" s="2">
        <f t="shared" si="159"/>
        <v>8231419.2482125591</v>
      </c>
      <c r="N214" s="2">
        <f t="shared" si="160"/>
        <v>10310753.534745034</v>
      </c>
      <c r="O214" s="16">
        <f t="shared" si="153"/>
        <v>9.9173600881961574E-2</v>
      </c>
      <c r="Q214" s="2">
        <f t="shared" si="154"/>
        <v>114277468.90103592</v>
      </c>
    </row>
    <row r="215" spans="1:17" x14ac:dyDescent="0.2">
      <c r="A215" s="250"/>
      <c r="B215" s="14" t="s">
        <v>5</v>
      </c>
      <c r="C215" s="2">
        <f t="shared" si="155"/>
        <v>516794851.59355342</v>
      </c>
      <c r="D215" s="2">
        <f t="shared" si="156"/>
        <v>163994590.05915287</v>
      </c>
      <c r="E215" s="2">
        <f t="shared" si="147"/>
        <v>162906869.33431765</v>
      </c>
      <c r="F215" s="4">
        <f t="shared" si="148"/>
        <v>189893392.20008287</v>
      </c>
      <c r="G215" s="1">
        <f t="shared" si="157"/>
        <v>0.63255556510568844</v>
      </c>
      <c r="H215" s="1">
        <f t="shared" si="149"/>
        <v>0.36744443489431161</v>
      </c>
      <c r="I215" s="29">
        <f t="shared" si="158"/>
        <v>1.9999999799999998E-2</v>
      </c>
      <c r="J215" s="2">
        <f t="shared" si="150"/>
        <v>3258137.354104979</v>
      </c>
      <c r="K215" s="16">
        <f t="shared" si="151"/>
        <v>0.13329615303789846</v>
      </c>
      <c r="L215" s="16">
        <f t="shared" si="152"/>
        <v>6.8433227848528871E-2</v>
      </c>
      <c r="M215" s="2">
        <f t="shared" si="159"/>
        <v>9706971.600372918</v>
      </c>
      <c r="N215" s="2">
        <f t="shared" si="160"/>
        <v>12965108.954477897</v>
      </c>
      <c r="O215" s="16">
        <f t="shared" si="153"/>
        <v>7.9586017504706244E-2</v>
      </c>
      <c r="Q215" s="2">
        <f t="shared" si="154"/>
        <v>175871978.28879556</v>
      </c>
    </row>
    <row r="216" spans="1:17" x14ac:dyDescent="0.2">
      <c r="A216" s="250"/>
      <c r="B216" s="14" t="s">
        <v>6</v>
      </c>
      <c r="C216" s="2">
        <f t="shared" si="155"/>
        <v>374147307.68268526</v>
      </c>
      <c r="D216" s="2">
        <f t="shared" si="156"/>
        <v>163339102.21191975</v>
      </c>
      <c r="E216" s="2">
        <f t="shared" si="147"/>
        <v>173114250.30738759</v>
      </c>
      <c r="F216" s="4">
        <f t="shared" si="148"/>
        <v>37693955.163377911</v>
      </c>
      <c r="G216" s="1">
        <f t="shared" si="157"/>
        <v>0.89925370465221632</v>
      </c>
      <c r="H216" s="1">
        <f t="shared" si="149"/>
        <v>0.1007462953477837</v>
      </c>
      <c r="I216" s="29">
        <f t="shared" si="158"/>
        <v>1.9999999799999998E-2</v>
      </c>
      <c r="J216" s="2">
        <f t="shared" si="150"/>
        <v>3462284.9715249012</v>
      </c>
      <c r="K216" s="16">
        <f t="shared" si="151"/>
        <v>3.6547277159176779E-2</v>
      </c>
      <c r="L216" s="16">
        <f t="shared" si="152"/>
        <v>9.7286052101710305E-2</v>
      </c>
      <c r="M216" s="2">
        <f t="shared" si="159"/>
        <v>2661467.5170274517</v>
      </c>
      <c r="N216" s="2">
        <f t="shared" si="160"/>
        <v>6123752.4885523524</v>
      </c>
      <c r="O216" s="16">
        <f t="shared" si="153"/>
        <v>3.5374051978267575E-2</v>
      </c>
      <c r="Q216" s="2">
        <f t="shared" si="154"/>
        <v>179238002.79593995</v>
      </c>
    </row>
    <row r="217" spans="1:17" x14ac:dyDescent="0.2">
      <c r="A217" s="250"/>
      <c r="B217" s="14" t="s">
        <v>7</v>
      </c>
      <c r="C217" s="2">
        <f t="shared" si="155"/>
        <v>416580234.87989271</v>
      </c>
      <c r="D217" s="2">
        <f t="shared" si="156"/>
        <v>167248761.01279837</v>
      </c>
      <c r="E217" s="2">
        <f t="shared" si="147"/>
        <v>122916420.88860345</v>
      </c>
      <c r="F217" s="4">
        <f t="shared" si="148"/>
        <v>126415052.97849089</v>
      </c>
      <c r="G217" s="1">
        <f t="shared" si="157"/>
        <v>0.69654092442734705</v>
      </c>
      <c r="H217" s="1">
        <f t="shared" si="149"/>
        <v>0.303459075572653</v>
      </c>
      <c r="I217" s="29">
        <f t="shared" si="158"/>
        <v>1.9999999799999998E-2</v>
      </c>
      <c r="J217" s="2">
        <f t="shared" si="150"/>
        <v>2458328.3931887844</v>
      </c>
      <c r="K217" s="16">
        <f t="shared" si="151"/>
        <v>0.11008447410533297</v>
      </c>
      <c r="L217" s="16">
        <f t="shared" si="152"/>
        <v>7.5355504585905217E-2</v>
      </c>
      <c r="M217" s="2">
        <f t="shared" si="159"/>
        <v>8016636.9353407882</v>
      </c>
      <c r="N217" s="2">
        <f t="shared" si="160"/>
        <v>10474965.328529572</v>
      </c>
      <c r="O217" s="16">
        <f t="shared" si="153"/>
        <v>8.5220227312206007E-2</v>
      </c>
      <c r="Q217" s="2">
        <f t="shared" si="154"/>
        <v>133391386.21713302</v>
      </c>
    </row>
    <row r="218" spans="1:17" x14ac:dyDescent="0.2">
      <c r="A218" s="250"/>
      <c r="B218" s="14" t="s">
        <v>8</v>
      </c>
      <c r="C218" s="2">
        <f t="shared" si="155"/>
        <v>1153378120.3195038</v>
      </c>
      <c r="D218" s="2">
        <f t="shared" si="156"/>
        <v>425535972.7752347</v>
      </c>
      <c r="E218" s="2">
        <f t="shared" si="147"/>
        <v>343042582.26889396</v>
      </c>
      <c r="F218" s="4">
        <f t="shared" si="148"/>
        <v>384799565.27537513</v>
      </c>
      <c r="G218" s="1">
        <f t="shared" si="157"/>
        <v>0.66637171410120066</v>
      </c>
      <c r="H218" s="1">
        <f t="shared" si="149"/>
        <v>0.33362828589879928</v>
      </c>
      <c r="I218" s="29">
        <f t="shared" si="158"/>
        <v>1.9999999799999998E-2</v>
      </c>
      <c r="J218" s="2">
        <f t="shared" si="150"/>
        <v>6860851.5767693622</v>
      </c>
      <c r="K218" s="16">
        <f t="shared" si="151"/>
        <v>0.12102882186181274</v>
      </c>
      <c r="L218" s="16">
        <f t="shared" si="152"/>
        <v>7.2091638835369273E-2</v>
      </c>
      <c r="M218" s="2">
        <f t="shared" si="159"/>
        <v>8813632.7258085702</v>
      </c>
      <c r="N218" s="2">
        <f t="shared" si="160"/>
        <v>15674484.302577931</v>
      </c>
      <c r="O218" s="16">
        <f t="shared" si="153"/>
        <v>4.569253239322775E-2</v>
      </c>
      <c r="Q218" s="2">
        <f t="shared" si="154"/>
        <v>358717066.57147187</v>
      </c>
    </row>
    <row r="219" spans="1:17" x14ac:dyDescent="0.2">
      <c r="A219" s="250"/>
      <c r="B219" s="14" t="s">
        <v>9</v>
      </c>
      <c r="C219" s="2">
        <f t="shared" si="155"/>
        <v>117436448.13204242</v>
      </c>
      <c r="D219" s="2">
        <f t="shared" si="156"/>
        <v>50630326.42048344</v>
      </c>
      <c r="E219" s="2">
        <f t="shared" si="147"/>
        <v>55111779.792407617</v>
      </c>
      <c r="F219" s="4">
        <f t="shared" si="148"/>
        <v>11694341.919151366</v>
      </c>
      <c r="G219" s="1">
        <f t="shared" si="157"/>
        <v>0.90041982616842642</v>
      </c>
      <c r="H219" s="1">
        <f t="shared" si="149"/>
        <v>9.9580173831573637E-2</v>
      </c>
      <c r="I219" s="29">
        <f t="shared" si="158"/>
        <v>1.9999999799999998E-2</v>
      </c>
      <c r="J219" s="2">
        <f t="shared" si="150"/>
        <v>1102235.5848257963</v>
      </c>
      <c r="K219" s="16">
        <f t="shared" si="151"/>
        <v>3.6124248539542818E-2</v>
      </c>
      <c r="L219" s="16">
        <f t="shared" si="152"/>
        <v>9.741220933408648E-2</v>
      </c>
      <c r="M219" s="2">
        <f t="shared" si="159"/>
        <v>2630661.4757175851</v>
      </c>
      <c r="N219" s="2">
        <f>J219+M219</f>
        <v>3732897.0605433816</v>
      </c>
      <c r="O219" s="16">
        <f t="shared" si="153"/>
        <v>6.7733197414496099E-2</v>
      </c>
      <c r="Q219" s="2">
        <f t="shared" si="154"/>
        <v>58844676.852950998</v>
      </c>
    </row>
    <row r="220" spans="1:17" x14ac:dyDescent="0.2">
      <c r="A220" s="250"/>
      <c r="B220" s="14" t="s">
        <v>10</v>
      </c>
      <c r="C220" s="2">
        <f t="shared" si="155"/>
        <v>1575107816.780582</v>
      </c>
      <c r="D220" s="2">
        <f t="shared" si="156"/>
        <v>1044362364.5886633</v>
      </c>
      <c r="E220" s="2">
        <f t="shared" si="147"/>
        <v>373854174.0787434</v>
      </c>
      <c r="F220" s="4">
        <f t="shared" si="148"/>
        <v>156891278.11317515</v>
      </c>
      <c r="G220" s="1">
        <f t="shared" si="157"/>
        <v>0.90039330867276712</v>
      </c>
      <c r="H220" s="1">
        <f t="shared" si="149"/>
        <v>9.9606691327232905E-2</v>
      </c>
      <c r="I220" s="29">
        <f t="shared" si="158"/>
        <v>1.9999999799999998E-2</v>
      </c>
      <c r="J220" s="2">
        <f t="shared" si="150"/>
        <v>7477083.4068040326</v>
      </c>
      <c r="K220" s="16">
        <f t="shared" si="151"/>
        <v>3.6133868171312707E-2</v>
      </c>
      <c r="L220" s="16">
        <f t="shared" si="152"/>
        <v>9.7409340530265065E-2</v>
      </c>
      <c r="M220" s="2">
        <f t="shared" si="159"/>
        <v>2631362.0022539343</v>
      </c>
      <c r="N220" s="2">
        <f t="shared" ref="N220:N221" si="161">J220+M220</f>
        <v>10108445.409057967</v>
      </c>
      <c r="O220" s="16">
        <f t="shared" si="153"/>
        <v>2.7038471441350995E-2</v>
      </c>
      <c r="Q220" s="2">
        <f t="shared" si="154"/>
        <v>383962619.48780137</v>
      </c>
    </row>
    <row r="221" spans="1:17" x14ac:dyDescent="0.2">
      <c r="A221" s="250"/>
      <c r="B221" s="14" t="s">
        <v>11</v>
      </c>
      <c r="C221" s="2">
        <f t="shared" si="155"/>
        <v>247533911.42866787</v>
      </c>
      <c r="D221" s="2">
        <f t="shared" si="156"/>
        <v>86472734.020217896</v>
      </c>
      <c r="E221" s="2">
        <f t="shared" si="147"/>
        <v>102623100.49338818</v>
      </c>
      <c r="F221" s="4">
        <f t="shared" si="148"/>
        <v>58438076.915061802</v>
      </c>
      <c r="G221" s="1">
        <f t="shared" si="157"/>
        <v>0.76391890477639879</v>
      </c>
      <c r="H221" s="1">
        <f t="shared" si="149"/>
        <v>0.23608109522360118</v>
      </c>
      <c r="I221" s="29">
        <f t="shared" si="158"/>
        <v>1.9999999799999998E-2</v>
      </c>
      <c r="J221" s="2">
        <f t="shared" si="150"/>
        <v>2052461.9893431433</v>
      </c>
      <c r="K221" s="16">
        <f t="shared" si="151"/>
        <v>8.5642069412021973E-2</v>
      </c>
      <c r="L221" s="16">
        <f t="shared" si="152"/>
        <v>8.2644813123456326E-2</v>
      </c>
      <c r="M221" s="2">
        <f t="shared" si="159"/>
        <v>6236677.628223097</v>
      </c>
      <c r="N221" s="2">
        <f t="shared" si="161"/>
        <v>8289139.61756624</v>
      </c>
      <c r="O221" s="16">
        <f t="shared" si="153"/>
        <v>8.0772648436014602E-2</v>
      </c>
      <c r="Q221" s="2">
        <f t="shared" si="154"/>
        <v>110912240.11095442</v>
      </c>
    </row>
    <row r="222" spans="1:17" x14ac:dyDescent="0.2">
      <c r="A222" s="250"/>
      <c r="B222" s="15" t="s">
        <v>14</v>
      </c>
      <c r="C222" s="30">
        <f>SUM(C210:C221)</f>
        <v>5658757828.9571905</v>
      </c>
      <c r="D222" s="30">
        <f>SUM(D210:D221)</f>
        <v>2482185758.979825</v>
      </c>
      <c r="E222" s="30">
        <f>SUM(E210:E221)</f>
        <v>1820564834.5076747</v>
      </c>
      <c r="F222" s="30">
        <f>SUM(F210:F221)</f>
        <v>1356007235.4696906</v>
      </c>
      <c r="G222" s="1">
        <f>1-H222</f>
        <v>0.76037015959038157</v>
      </c>
      <c r="H222" s="11">
        <f t="shared" si="149"/>
        <v>0.23962984040961846</v>
      </c>
      <c r="J222" s="30">
        <f>SUM(J210:J221)</f>
        <v>36411296.326040529</v>
      </c>
      <c r="K222" s="16"/>
      <c r="L222" s="16"/>
      <c r="M222" s="30">
        <f>SUM(M210:M221)</f>
        <v>72822593.744420022</v>
      </c>
      <c r="N222" s="30">
        <f>SUM(N210:N221)</f>
        <v>109233890.07046057</v>
      </c>
      <c r="O222" s="16">
        <f t="shared" si="153"/>
        <v>6.0000000000000053E-2</v>
      </c>
      <c r="Q222" s="3">
        <f>SUM(Q210:Q221)</f>
        <v>1929798724.5781355</v>
      </c>
    </row>
    <row r="223" spans="1:17" x14ac:dyDescent="0.2">
      <c r="G223" s="21">
        <f>SUM(G210:G221)</f>
        <v>9.2433980537319727</v>
      </c>
      <c r="H223" s="21">
        <f>SUM(H210:H221)</f>
        <v>2.7566019462680265</v>
      </c>
      <c r="I223" s="10" t="s">
        <v>30</v>
      </c>
      <c r="J223" s="17">
        <f>C205-SUM(J210:J221)</f>
        <v>72822593.744420022</v>
      </c>
    </row>
    <row r="226" spans="1:17" x14ac:dyDescent="0.2">
      <c r="A226" s="250">
        <v>9</v>
      </c>
      <c r="B226" t="s">
        <v>34</v>
      </c>
      <c r="C226" s="4">
        <f>Q222</f>
        <v>1929798724.5781355</v>
      </c>
      <c r="D226" s="4"/>
    </row>
    <row r="227" spans="1:17" x14ac:dyDescent="0.2">
      <c r="A227" s="250"/>
      <c r="B227" t="s">
        <v>27</v>
      </c>
      <c r="C227" s="6">
        <f>C226*(1+C228)</f>
        <v>2045586648.0528238</v>
      </c>
      <c r="D227" s="6"/>
    </row>
    <row r="228" spans="1:17" x14ac:dyDescent="0.2">
      <c r="A228" s="250"/>
      <c r="B228" t="s">
        <v>28</v>
      </c>
      <c r="C228" s="20">
        <f>C4</f>
        <v>0.06</v>
      </c>
      <c r="D228" s="20"/>
    </row>
    <row r="229" spans="1:17" x14ac:dyDescent="0.2">
      <c r="A229" s="250"/>
      <c r="B229" t="s">
        <v>16</v>
      </c>
      <c r="C229" s="20">
        <f>C5</f>
        <v>0.03</v>
      </c>
      <c r="D229" s="20"/>
    </row>
    <row r="230" spans="1:17" x14ac:dyDescent="0.2">
      <c r="A230" s="250"/>
      <c r="B230" t="s">
        <v>31</v>
      </c>
      <c r="C230" s="6">
        <f>C227-C226</f>
        <v>115787923.47468829</v>
      </c>
      <c r="D230" s="6"/>
    </row>
    <row r="231" spans="1:17" x14ac:dyDescent="0.2">
      <c r="A231" s="250"/>
      <c r="B231" t="s">
        <v>48</v>
      </c>
      <c r="C231" s="20">
        <f>((1+$C$5)^A226)-1</f>
        <v>0.30477318382924445</v>
      </c>
      <c r="D231" s="20"/>
    </row>
    <row r="232" spans="1:17" ht="21" x14ac:dyDescent="0.25">
      <c r="A232" s="250"/>
      <c r="F232" s="6"/>
      <c r="G232" s="6"/>
      <c r="I232" s="251" t="s">
        <v>18</v>
      </c>
      <c r="J232" s="251"/>
      <c r="K232" s="251"/>
      <c r="L232" s="251"/>
      <c r="M232" s="251"/>
      <c r="N232" s="251"/>
      <c r="O232" s="251"/>
    </row>
    <row r="233" spans="1:17" x14ac:dyDescent="0.2">
      <c r="A233" s="250" t="s">
        <v>51</v>
      </c>
      <c r="I233" s="255" t="s">
        <v>19</v>
      </c>
      <c r="J233" s="255"/>
      <c r="K233" s="255"/>
      <c r="L233" s="255"/>
      <c r="M233" s="255"/>
      <c r="N233" s="255"/>
      <c r="O233" s="255"/>
    </row>
    <row r="234" spans="1:17" ht="49" thickBot="1" x14ac:dyDescent="0.25">
      <c r="A234" s="250"/>
      <c r="B234" s="22" t="s">
        <v>12</v>
      </c>
      <c r="C234" s="13" t="s">
        <v>15</v>
      </c>
      <c r="D234" s="13" t="s">
        <v>63</v>
      </c>
      <c r="E234" s="13" t="s">
        <v>29</v>
      </c>
      <c r="F234" s="13" t="s">
        <v>13</v>
      </c>
      <c r="G234" s="13" t="s">
        <v>50</v>
      </c>
      <c r="H234" s="13" t="s">
        <v>17</v>
      </c>
      <c r="I234" s="28" t="s">
        <v>20</v>
      </c>
      <c r="J234" s="28" t="s">
        <v>21</v>
      </c>
      <c r="K234" s="28" t="s">
        <v>22</v>
      </c>
      <c r="L234" s="28" t="s">
        <v>49</v>
      </c>
      <c r="M234" s="28" t="s">
        <v>23</v>
      </c>
      <c r="N234" s="28" t="s">
        <v>24</v>
      </c>
      <c r="O234" s="28" t="s">
        <v>25</v>
      </c>
      <c r="Q234" s="28" t="s">
        <v>32</v>
      </c>
    </row>
    <row r="235" spans="1:17" ht="16" thickTop="1" x14ac:dyDescent="0.2">
      <c r="A235" s="250"/>
      <c r="B235" s="14" t="s">
        <v>0</v>
      </c>
      <c r="C235" s="2">
        <f>VLOOKUP($B235,$B$9:$O$22,2,FALSE)*(1+$C$231)</f>
        <v>96632829.739660591</v>
      </c>
      <c r="D235" s="2">
        <f>VLOOKUP($B235,$B$9:$O$22,3,FALSE)*(1+$C$231)</f>
        <v>18990860.735655807</v>
      </c>
      <c r="E235" s="2">
        <f t="shared" ref="E235:E246" si="162">Q210</f>
        <v>71551890.356646776</v>
      </c>
      <c r="F235" s="4">
        <f t="shared" ref="F235:F246" si="163">C235-E235-D235</f>
        <v>6090078.6473580077</v>
      </c>
      <c r="G235" s="1">
        <f>1-H235</f>
        <v>0.9369771260578279</v>
      </c>
      <c r="H235" s="1">
        <f t="shared" ref="H235:H247" si="164">MAX(0,F235/C235)</f>
        <v>6.3022873942172097E-2</v>
      </c>
      <c r="I235" s="29">
        <f>MIN($C$5,($C$4*0.5))*$C$8</f>
        <v>1.9999999799999998E-2</v>
      </c>
      <c r="J235" s="2">
        <f t="shared" ref="J235:J246" si="165">I235*E235</f>
        <v>1431037.7928225573</v>
      </c>
      <c r="K235" s="16">
        <f t="shared" ref="K235:K246" si="166">H235/$H$248</f>
        <v>2.4572313705822964E-2</v>
      </c>
      <c r="L235" s="16">
        <f t="shared" ref="L235:L246" si="167">G235/$G$248</f>
        <v>9.9306462282903935E-2</v>
      </c>
      <c r="M235" s="2">
        <f>$J$248*IF($J$248&lt;0,L235,K235)</f>
        <v>1896784.795461168</v>
      </c>
      <c r="N235" s="2">
        <f>J235+M235</f>
        <v>3327822.5882837251</v>
      </c>
      <c r="O235" s="16">
        <f t="shared" ref="O235:O247" si="168">N235/E235</f>
        <v>4.6509219696312172E-2</v>
      </c>
      <c r="Q235" s="2">
        <f t="shared" ref="Q235:Q246" si="169">N235+E235</f>
        <v>74879712.944930494</v>
      </c>
    </row>
    <row r="236" spans="1:17" x14ac:dyDescent="0.2">
      <c r="A236" s="250"/>
      <c r="B236" s="14" t="s">
        <v>1</v>
      </c>
      <c r="C236" s="2">
        <f t="shared" ref="C236:C246" si="170">VLOOKUP($B236,$B$9:$O$22,2,FALSE)*(1+$C$231)</f>
        <v>215243763.55960152</v>
      </c>
      <c r="D236" s="2">
        <f t="shared" ref="D236:D246" si="171">VLOOKUP($B236,$B$9:$O$22,3,FALSE)*(1+$C$231)</f>
        <v>72066875.143104121</v>
      </c>
      <c r="E236" s="2">
        <f t="shared" si="162"/>
        <v>100510931.6077566</v>
      </c>
      <c r="F236" s="4">
        <f t="shared" si="163"/>
        <v>42665956.808740795</v>
      </c>
      <c r="G236" s="1">
        <f t="shared" ref="G236:G246" si="172">1-H236</f>
        <v>0.80177842970615743</v>
      </c>
      <c r="H236" s="1">
        <f t="shared" si="164"/>
        <v>0.19822157029384263</v>
      </c>
      <c r="I236" s="29">
        <f t="shared" ref="I236:I246" si="173">MIN($C$5,($C$4*0.5))*$C$8</f>
        <v>1.9999999799999998E-2</v>
      </c>
      <c r="J236" s="2">
        <f t="shared" si="165"/>
        <v>2010218.6120529454</v>
      </c>
      <c r="K236" s="16">
        <f t="shared" si="166"/>
        <v>7.7285631451691733E-2</v>
      </c>
      <c r="L236" s="16">
        <f t="shared" si="167"/>
        <v>8.4977292587552891E-2</v>
      </c>
      <c r="M236" s="2">
        <f t="shared" ref="M236:M246" si="174">$J$248*IF($J$248&lt;0,L236,K236)</f>
        <v>5965828.5499767782</v>
      </c>
      <c r="N236" s="2">
        <f>J236+M236</f>
        <v>7976047.1620297236</v>
      </c>
      <c r="O236" s="16">
        <f t="shared" si="168"/>
        <v>7.9355021731926698E-2</v>
      </c>
      <c r="Q236" s="2">
        <f t="shared" si="169"/>
        <v>108486978.76978633</v>
      </c>
    </row>
    <row r="237" spans="1:17" x14ac:dyDescent="0.2">
      <c r="A237" s="250"/>
      <c r="B237" s="14" t="s">
        <v>2</v>
      </c>
      <c r="C237" s="2">
        <f t="shared" si="170"/>
        <v>145939451.89209035</v>
      </c>
      <c r="D237" s="2">
        <f t="shared" si="171"/>
        <v>36857476.526422992</v>
      </c>
      <c r="E237" s="2">
        <f t="shared" si="162"/>
        <v>83797020.042515889</v>
      </c>
      <c r="F237" s="4">
        <f t="shared" si="163"/>
        <v>25284955.323151469</v>
      </c>
      <c r="G237" s="1">
        <f t="shared" si="172"/>
        <v>0.82674352277376295</v>
      </c>
      <c r="H237" s="1">
        <f t="shared" si="164"/>
        <v>0.17325647722623705</v>
      </c>
      <c r="I237" s="29">
        <f t="shared" si="173"/>
        <v>1.9999999799999998E-2</v>
      </c>
      <c r="J237" s="2">
        <f t="shared" si="165"/>
        <v>1675940.3840909137</v>
      </c>
      <c r="K237" s="16">
        <f t="shared" si="166"/>
        <v>6.7551862421812936E-2</v>
      </c>
      <c r="L237" s="16">
        <f t="shared" si="167"/>
        <v>8.7623243063994244E-2</v>
      </c>
      <c r="M237" s="2">
        <f t="shared" si="174"/>
        <v>5214459.9438520027</v>
      </c>
      <c r="N237" s="2">
        <f t="shared" ref="N237:N243" si="175">J237+M237</f>
        <v>6890400.3279429162</v>
      </c>
      <c r="O237" s="16">
        <f t="shared" si="168"/>
        <v>8.222727161952717E-2</v>
      </c>
      <c r="Q237" s="2">
        <f t="shared" si="169"/>
        <v>90687420.370458812</v>
      </c>
    </row>
    <row r="238" spans="1:17" x14ac:dyDescent="0.2">
      <c r="A238" s="250"/>
      <c r="B238" s="14" t="s">
        <v>3</v>
      </c>
      <c r="C238" s="2">
        <f t="shared" si="170"/>
        <v>623416619.13078654</v>
      </c>
      <c r="D238" s="2">
        <f t="shared" si="171"/>
        <v>223677945.046599</v>
      </c>
      <c r="E238" s="2">
        <f t="shared" si="162"/>
        <v>158723443.34513298</v>
      </c>
      <c r="F238" s="4">
        <f t="shared" si="163"/>
        <v>241015230.73905459</v>
      </c>
      <c r="G238" s="1">
        <f t="shared" si="172"/>
        <v>0.61339620513310056</v>
      </c>
      <c r="H238" s="1">
        <f t="shared" si="164"/>
        <v>0.38660379486689944</v>
      </c>
      <c r="I238" s="29">
        <f t="shared" si="173"/>
        <v>1.9999999799999998E-2</v>
      </c>
      <c r="J238" s="2">
        <f t="shared" si="165"/>
        <v>3174468.8351579704</v>
      </c>
      <c r="K238" s="16">
        <f t="shared" si="166"/>
        <v>0.15073494960016848</v>
      </c>
      <c r="L238" s="16">
        <f t="shared" si="167"/>
        <v>6.5011413208999919E-2</v>
      </c>
      <c r="M238" s="2">
        <f t="shared" si="174"/>
        <v>11635524.597687837</v>
      </c>
      <c r="N238" s="2">
        <f t="shared" si="175"/>
        <v>14809993.432845807</v>
      </c>
      <c r="O238" s="16">
        <f t="shared" si="168"/>
        <v>9.3306906155271069E-2</v>
      </c>
      <c r="Q238" s="2">
        <f t="shared" si="169"/>
        <v>173533436.77797878</v>
      </c>
    </row>
    <row r="239" spans="1:17" x14ac:dyDescent="0.2">
      <c r="A239" s="250"/>
      <c r="B239" s="14" t="s">
        <v>4</v>
      </c>
      <c r="C239" s="2">
        <f t="shared" si="170"/>
        <v>214279847.96233204</v>
      </c>
      <c r="D239" s="2">
        <f t="shared" si="171"/>
        <v>40426807.676313184</v>
      </c>
      <c r="E239" s="2">
        <f t="shared" si="162"/>
        <v>114277468.90103592</v>
      </c>
      <c r="F239" s="4">
        <f t="shared" si="163"/>
        <v>59575571.384982936</v>
      </c>
      <c r="G239" s="1">
        <f t="shared" si="172"/>
        <v>0.72197305555557589</v>
      </c>
      <c r="H239" s="1">
        <f t="shared" si="164"/>
        <v>0.27802694444442411</v>
      </c>
      <c r="I239" s="29">
        <f t="shared" si="173"/>
        <v>1.9999999799999998E-2</v>
      </c>
      <c r="J239" s="2">
        <f t="shared" si="165"/>
        <v>2285549.3551652245</v>
      </c>
      <c r="K239" s="16">
        <f t="shared" si="166"/>
        <v>0.10840136081113066</v>
      </c>
      <c r="L239" s="16">
        <f t="shared" si="167"/>
        <v>7.6519039810986567E-2</v>
      </c>
      <c r="M239" s="2">
        <f t="shared" si="174"/>
        <v>8367712.3552727504</v>
      </c>
      <c r="N239" s="2">
        <f t="shared" si="175"/>
        <v>10653261.710437976</v>
      </c>
      <c r="O239" s="16">
        <f t="shared" si="168"/>
        <v>9.3222765720018544E-2</v>
      </c>
      <c r="Q239" s="2">
        <f t="shared" si="169"/>
        <v>124930730.61147389</v>
      </c>
    </row>
    <row r="240" spans="1:17" x14ac:dyDescent="0.2">
      <c r="A240" s="250"/>
      <c r="B240" s="14" t="s">
        <v>5</v>
      </c>
      <c r="C240" s="2">
        <f t="shared" si="170"/>
        <v>532298697.14136004</v>
      </c>
      <c r="D240" s="2">
        <f t="shared" si="171"/>
        <v>168914427.76092747</v>
      </c>
      <c r="E240" s="2">
        <f t="shared" si="162"/>
        <v>175871978.28879556</v>
      </c>
      <c r="F240" s="4">
        <f t="shared" si="163"/>
        <v>187512291.09163699</v>
      </c>
      <c r="G240" s="1">
        <f t="shared" si="172"/>
        <v>0.64773107261271345</v>
      </c>
      <c r="H240" s="1">
        <f t="shared" si="164"/>
        <v>0.35226892738728655</v>
      </c>
      <c r="I240" s="29">
        <f t="shared" si="173"/>
        <v>1.9999999799999998E-2</v>
      </c>
      <c r="J240" s="2">
        <f t="shared" si="165"/>
        <v>3517439.530601515</v>
      </c>
      <c r="K240" s="16">
        <f t="shared" si="166"/>
        <v>0.13734795084903173</v>
      </c>
      <c r="L240" s="16">
        <f t="shared" si="167"/>
        <v>6.8650428642277689E-2</v>
      </c>
      <c r="M240" s="2">
        <f t="shared" si="174"/>
        <v>10602156.067886079</v>
      </c>
      <c r="N240" s="2">
        <f t="shared" si="175"/>
        <v>14119595.598487593</v>
      </c>
      <c r="O240" s="16">
        <f t="shared" si="168"/>
        <v>8.0283372802585476E-2</v>
      </c>
      <c r="Q240" s="2">
        <f t="shared" si="169"/>
        <v>189991573.88728315</v>
      </c>
    </row>
    <row r="241" spans="1:17" x14ac:dyDescent="0.2">
      <c r="A241" s="250"/>
      <c r="B241" s="14" t="s">
        <v>6</v>
      </c>
      <c r="C241" s="2">
        <f t="shared" si="170"/>
        <v>385371726.91316581</v>
      </c>
      <c r="D241" s="2">
        <f t="shared" si="171"/>
        <v>168239275.27827737</v>
      </c>
      <c r="E241" s="2">
        <f t="shared" si="162"/>
        <v>179238002.79593995</v>
      </c>
      <c r="F241" s="4">
        <f t="shared" si="163"/>
        <v>37894448.838948488</v>
      </c>
      <c r="G241" s="1">
        <f t="shared" si="172"/>
        <v>0.90166780229965582</v>
      </c>
      <c r="H241" s="1">
        <f t="shared" si="164"/>
        <v>9.8332197700344237E-2</v>
      </c>
      <c r="I241" s="29">
        <f t="shared" si="173"/>
        <v>1.9999999799999998E-2</v>
      </c>
      <c r="J241" s="2">
        <f t="shared" si="165"/>
        <v>3584760.0200711982</v>
      </c>
      <c r="K241" s="16">
        <f t="shared" si="166"/>
        <v>3.8339248246484929E-2</v>
      </c>
      <c r="L241" s="16">
        <f t="shared" si="167"/>
        <v>9.5564168121702237E-2</v>
      </c>
      <c r="M241" s="2">
        <f t="shared" si="174"/>
        <v>2959481.3094914588</v>
      </c>
      <c r="N241" s="2">
        <f t="shared" si="175"/>
        <v>6544241.3295626566</v>
      </c>
      <c r="O241" s="16">
        <f t="shared" si="168"/>
        <v>3.6511460892661177E-2</v>
      </c>
      <c r="Q241" s="2">
        <f t="shared" si="169"/>
        <v>185782244.12550262</v>
      </c>
    </row>
    <row r="242" spans="1:17" x14ac:dyDescent="0.2">
      <c r="A242" s="250"/>
      <c r="B242" s="14" t="s">
        <v>7</v>
      </c>
      <c r="C242" s="2">
        <f t="shared" si="170"/>
        <v>429077641.9262895</v>
      </c>
      <c r="D242" s="2">
        <f t="shared" si="171"/>
        <v>172266223.84318233</v>
      </c>
      <c r="E242" s="2">
        <f t="shared" si="162"/>
        <v>133391386.21713302</v>
      </c>
      <c r="F242" s="4">
        <f t="shared" si="163"/>
        <v>123420031.86597419</v>
      </c>
      <c r="G242" s="1">
        <f t="shared" si="172"/>
        <v>0.71235967618378893</v>
      </c>
      <c r="H242" s="1">
        <f t="shared" si="164"/>
        <v>0.28764032381621107</v>
      </c>
      <c r="I242" s="29">
        <f t="shared" si="173"/>
        <v>1.9999999799999998E-2</v>
      </c>
      <c r="J242" s="2">
        <f t="shared" si="165"/>
        <v>2667827.6976643829</v>
      </c>
      <c r="K242" s="16">
        <f t="shared" si="166"/>
        <v>0.11214957092787951</v>
      </c>
      <c r="L242" s="16">
        <f t="shared" si="167"/>
        <v>7.5500156137686847E-2</v>
      </c>
      <c r="M242" s="2">
        <f t="shared" si="174"/>
        <v>8657044.0008295216</v>
      </c>
      <c r="N242" s="2">
        <f t="shared" si="175"/>
        <v>11324871.698493905</v>
      </c>
      <c r="O242" s="16">
        <f t="shared" si="168"/>
        <v>8.4899572750967628E-2</v>
      </c>
      <c r="Q242" s="2">
        <f t="shared" si="169"/>
        <v>144716257.91562691</v>
      </c>
    </row>
    <row r="243" spans="1:17" x14ac:dyDescent="0.2">
      <c r="A243" s="250"/>
      <c r="B243" s="14" t="s">
        <v>8</v>
      </c>
      <c r="C243" s="2">
        <f t="shared" si="170"/>
        <v>1187979463.9290888</v>
      </c>
      <c r="D243" s="2">
        <f t="shared" si="171"/>
        <v>438302051.9584918</v>
      </c>
      <c r="E243" s="2">
        <f t="shared" si="162"/>
        <v>358717066.57147187</v>
      </c>
      <c r="F243" s="4">
        <f t="shared" si="163"/>
        <v>390960345.3991251</v>
      </c>
      <c r="G243" s="1">
        <f t="shared" si="172"/>
        <v>0.67090311131635705</v>
      </c>
      <c r="H243" s="1">
        <f t="shared" si="164"/>
        <v>0.3290968886836429</v>
      </c>
      <c r="I243" s="29">
        <f t="shared" si="173"/>
        <v>1.9999999799999998E-2</v>
      </c>
      <c r="J243" s="2">
        <f t="shared" si="165"/>
        <v>7174341.259686023</v>
      </c>
      <c r="K243" s="16">
        <f t="shared" si="166"/>
        <v>0.12831328504258407</v>
      </c>
      <c r="L243" s="16">
        <f t="shared" si="167"/>
        <v>7.1106340450096311E-2</v>
      </c>
      <c r="M243" s="2">
        <f t="shared" si="174"/>
        <v>9904752.6023881659</v>
      </c>
      <c r="N243" s="2">
        <f t="shared" si="175"/>
        <v>17079093.862074189</v>
      </c>
      <c r="O243" s="16">
        <f t="shared" si="168"/>
        <v>4.7611601046228164E-2</v>
      </c>
      <c r="Q243" s="2">
        <f t="shared" si="169"/>
        <v>375796160.43354607</v>
      </c>
    </row>
    <row r="244" spans="1:17" x14ac:dyDescent="0.2">
      <c r="A244" s="250"/>
      <c r="B244" s="14" t="s">
        <v>9</v>
      </c>
      <c r="C244" s="2">
        <f t="shared" si="170"/>
        <v>120959541.57600369</v>
      </c>
      <c r="D244" s="2">
        <f t="shared" si="171"/>
        <v>52149236.213097945</v>
      </c>
      <c r="E244" s="2">
        <f t="shared" si="162"/>
        <v>58844676.852950998</v>
      </c>
      <c r="F244" s="4">
        <f t="shared" si="163"/>
        <v>9965628.5099547431</v>
      </c>
      <c r="G244" s="1">
        <f t="shared" si="172"/>
        <v>0.91761188592391496</v>
      </c>
      <c r="H244" s="1">
        <f t="shared" si="164"/>
        <v>8.2388114076085039E-2</v>
      </c>
      <c r="I244" s="29">
        <f t="shared" si="173"/>
        <v>1.9999999799999998E-2</v>
      </c>
      <c r="J244" s="2">
        <f t="shared" si="165"/>
        <v>1176893.5252900845</v>
      </c>
      <c r="K244" s="16">
        <f t="shared" si="166"/>
        <v>3.2122727163573665E-2</v>
      </c>
      <c r="L244" s="16">
        <f t="shared" si="167"/>
        <v>9.7254017846988103E-2</v>
      </c>
      <c r="M244" s="2">
        <f t="shared" si="174"/>
        <v>2479615.9288075208</v>
      </c>
      <c r="N244" s="2">
        <f>J244+M244</f>
        <v>3656509.4540976053</v>
      </c>
      <c r="O244" s="16">
        <f t="shared" si="168"/>
        <v>6.2138321589138533E-2</v>
      </c>
      <c r="Q244" s="2">
        <f t="shared" si="169"/>
        <v>62501186.307048604</v>
      </c>
    </row>
    <row r="245" spans="1:17" x14ac:dyDescent="0.2">
      <c r="A245" s="250"/>
      <c r="B245" s="14" t="s">
        <v>10</v>
      </c>
      <c r="C245" s="2">
        <f t="shared" si="170"/>
        <v>1622361051.2839994</v>
      </c>
      <c r="D245" s="2">
        <f t="shared" si="171"/>
        <v>1075693235.5263233</v>
      </c>
      <c r="E245" s="2">
        <f t="shared" si="162"/>
        <v>383962619.48780137</v>
      </c>
      <c r="F245" s="4">
        <f t="shared" si="163"/>
        <v>162705196.26987481</v>
      </c>
      <c r="G245" s="1">
        <f t="shared" si="172"/>
        <v>0.89971085897241942</v>
      </c>
      <c r="H245" s="1">
        <f t="shared" si="164"/>
        <v>0.10028914102758052</v>
      </c>
      <c r="I245" s="29">
        <f t="shared" si="173"/>
        <v>1.9999999799999998E-2</v>
      </c>
      <c r="J245" s="2">
        <f t="shared" si="165"/>
        <v>7679252.3129635025</v>
      </c>
      <c r="K245" s="16">
        <f t="shared" si="166"/>
        <v>3.91022509839591E-2</v>
      </c>
      <c r="L245" s="16">
        <f t="shared" si="167"/>
        <v>9.535675951661321E-2</v>
      </c>
      <c r="M245" s="2">
        <f t="shared" si="174"/>
        <v>3018378.9781710384</v>
      </c>
      <c r="N245" s="2">
        <f t="shared" ref="N245:N246" si="176">J245+M245</f>
        <v>10697631.29113454</v>
      </c>
      <c r="O245" s="16">
        <f t="shared" si="168"/>
        <v>2.7861126964403387E-2</v>
      </c>
      <c r="Q245" s="2">
        <f t="shared" si="169"/>
        <v>394660250.77893591</v>
      </c>
    </row>
    <row r="246" spans="1:17" x14ac:dyDescent="0.2">
      <c r="A246" s="250"/>
      <c r="B246" s="14" t="s">
        <v>11</v>
      </c>
      <c r="C246" s="2">
        <f t="shared" si="170"/>
        <v>254959928.77152792</v>
      </c>
      <c r="D246" s="2">
        <f t="shared" si="171"/>
        <v>89066916.040824428</v>
      </c>
      <c r="E246" s="2">
        <f t="shared" si="162"/>
        <v>110912240.11095442</v>
      </c>
      <c r="F246" s="4">
        <f t="shared" si="163"/>
        <v>54980772.619749054</v>
      </c>
      <c r="G246" s="1">
        <f t="shared" si="172"/>
        <v>0.7843552401168975</v>
      </c>
      <c r="H246" s="1">
        <f t="shared" si="164"/>
        <v>0.2156447598831025</v>
      </c>
      <c r="I246" s="29">
        <f t="shared" si="173"/>
        <v>1.9999999799999998E-2</v>
      </c>
      <c r="J246" s="2">
        <f t="shared" si="165"/>
        <v>2218244.7800366399</v>
      </c>
      <c r="K246" s="16">
        <f t="shared" si="166"/>
        <v>8.4078848795860459E-2</v>
      </c>
      <c r="L246" s="16">
        <f t="shared" si="167"/>
        <v>8.3130678330198077E-2</v>
      </c>
      <c r="M246" s="2">
        <f t="shared" si="174"/>
        <v>6490210.2392610423</v>
      </c>
      <c r="N246" s="2">
        <f t="shared" si="176"/>
        <v>8708455.0192976817</v>
      </c>
      <c r="O246" s="16">
        <f t="shared" si="168"/>
        <v>7.8516627295471764E-2</v>
      </c>
      <c r="Q246" s="2">
        <f t="shared" si="169"/>
        <v>119620695.13025209</v>
      </c>
    </row>
    <row r="247" spans="1:17" x14ac:dyDescent="0.2">
      <c r="A247" s="250"/>
      <c r="B247" s="15" t="s">
        <v>14</v>
      </c>
      <c r="C247" s="30">
        <f>SUM(C235:C246)</f>
        <v>5828520563.8259068</v>
      </c>
      <c r="D247" s="30">
        <f>SUM(D235:D246)</f>
        <v>2556651331.7492199</v>
      </c>
      <c r="E247" s="30">
        <f>SUM(E235:E246)</f>
        <v>1929798724.5781355</v>
      </c>
      <c r="F247" s="30">
        <f>SUM(F235:F246)</f>
        <v>1342070507.4985511</v>
      </c>
      <c r="G247" s="1">
        <f>1-H247</f>
        <v>0.76974079566125764</v>
      </c>
      <c r="H247" s="11">
        <f t="shared" si="164"/>
        <v>0.23025920433874233</v>
      </c>
      <c r="J247" s="30">
        <f>SUM(J235:J246)</f>
        <v>38595974.105602957</v>
      </c>
      <c r="K247" s="16"/>
      <c r="L247" s="16"/>
      <c r="M247" s="30">
        <f>SUM(M235:M246)</f>
        <v>77191949.369085357</v>
      </c>
      <c r="N247" s="30">
        <f>SUM(N235:N246)</f>
        <v>115787923.47468832</v>
      </c>
      <c r="O247" s="16">
        <f t="shared" si="168"/>
        <v>6.0000000000000102E-2</v>
      </c>
      <c r="Q247" s="3">
        <f>SUM(Q235:Q246)</f>
        <v>2045586648.0528238</v>
      </c>
    </row>
    <row r="248" spans="1:17" x14ac:dyDescent="0.2">
      <c r="C248" s="30"/>
      <c r="D248" s="30"/>
      <c r="E248" s="30"/>
      <c r="F248" s="30"/>
      <c r="G248" s="21">
        <f>SUM(G235:G246)</f>
        <v>9.4352079866521716</v>
      </c>
      <c r="H248" s="21">
        <f>SUM(H235:H246)</f>
        <v>2.5647920133478275</v>
      </c>
      <c r="I248" s="10" t="s">
        <v>30</v>
      </c>
      <c r="J248" s="17">
        <f>C230-SUM(J235:J246)</f>
        <v>77191949.369085342</v>
      </c>
    </row>
    <row r="251" spans="1:17" x14ac:dyDescent="0.2">
      <c r="A251" s="250">
        <v>10</v>
      </c>
      <c r="B251" t="s">
        <v>34</v>
      </c>
      <c r="C251" s="4">
        <f>Q247</f>
        <v>2045586648.0528238</v>
      </c>
      <c r="D251" s="4"/>
    </row>
    <row r="252" spans="1:17" x14ac:dyDescent="0.2">
      <c r="A252" s="250"/>
      <c r="B252" t="s">
        <v>27</v>
      </c>
      <c r="C252" s="6">
        <f>C251*(1+C253)</f>
        <v>2168321846.9359932</v>
      </c>
      <c r="D252" s="6"/>
    </row>
    <row r="253" spans="1:17" x14ac:dyDescent="0.2">
      <c r="A253" s="250"/>
      <c r="B253" t="s">
        <v>28</v>
      </c>
      <c r="C253" s="20">
        <f>C4</f>
        <v>0.06</v>
      </c>
      <c r="D253" s="20"/>
    </row>
    <row r="254" spans="1:17" x14ac:dyDescent="0.2">
      <c r="A254" s="250"/>
      <c r="B254" t="s">
        <v>16</v>
      </c>
      <c r="C254" s="20">
        <f>C5</f>
        <v>0.03</v>
      </c>
      <c r="D254" s="20"/>
    </row>
    <row r="255" spans="1:17" x14ac:dyDescent="0.2">
      <c r="A255" s="250"/>
      <c r="B255" t="s">
        <v>31</v>
      </c>
      <c r="C255" s="6">
        <f>C252-C251</f>
        <v>122735198.88316941</v>
      </c>
      <c r="D255" s="6"/>
    </row>
    <row r="256" spans="1:17" x14ac:dyDescent="0.2">
      <c r="A256" s="250"/>
      <c r="B256" t="s">
        <v>48</v>
      </c>
      <c r="C256" s="20">
        <f>((1+$C$5)^A251)-1</f>
        <v>0.34391637934412178</v>
      </c>
      <c r="D256" s="20"/>
    </row>
    <row r="257" spans="1:17" ht="21" x14ac:dyDescent="0.25">
      <c r="A257" s="250"/>
      <c r="F257" s="6"/>
      <c r="G257" s="6"/>
      <c r="I257" s="251" t="s">
        <v>18</v>
      </c>
      <c r="J257" s="251"/>
      <c r="K257" s="251"/>
      <c r="L257" s="251"/>
      <c r="M257" s="251"/>
      <c r="N257" s="251"/>
      <c r="O257" s="251"/>
    </row>
    <row r="258" spans="1:17" x14ac:dyDescent="0.2">
      <c r="A258" s="250" t="s">
        <v>51</v>
      </c>
      <c r="I258" s="255" t="s">
        <v>19</v>
      </c>
      <c r="J258" s="255"/>
      <c r="K258" s="255"/>
      <c r="L258" s="255"/>
      <c r="M258" s="255"/>
      <c r="N258" s="255"/>
      <c r="O258" s="255"/>
    </row>
    <row r="259" spans="1:17" ht="49" thickBot="1" x14ac:dyDescent="0.25">
      <c r="A259" s="250"/>
      <c r="B259" s="22" t="s">
        <v>12</v>
      </c>
      <c r="C259" s="13" t="s">
        <v>15</v>
      </c>
      <c r="D259" s="13" t="s">
        <v>63</v>
      </c>
      <c r="E259" s="13" t="s">
        <v>29</v>
      </c>
      <c r="F259" s="13" t="s">
        <v>13</v>
      </c>
      <c r="G259" s="13" t="s">
        <v>50</v>
      </c>
      <c r="H259" s="13" t="s">
        <v>17</v>
      </c>
      <c r="I259" s="28" t="s">
        <v>20</v>
      </c>
      <c r="J259" s="28" t="s">
        <v>21</v>
      </c>
      <c r="K259" s="28" t="s">
        <v>22</v>
      </c>
      <c r="L259" s="28" t="s">
        <v>49</v>
      </c>
      <c r="M259" s="28" t="s">
        <v>23</v>
      </c>
      <c r="N259" s="28" t="s">
        <v>24</v>
      </c>
      <c r="O259" s="28" t="s">
        <v>25</v>
      </c>
      <c r="Q259" s="28" t="s">
        <v>32</v>
      </c>
    </row>
    <row r="260" spans="1:17" ht="16" thickTop="1" x14ac:dyDescent="0.2">
      <c r="A260" s="250"/>
      <c r="B260" s="14" t="s">
        <v>0</v>
      </c>
      <c r="C260" s="2">
        <f>VLOOKUP($B260,$B$9:$O$22,2,FALSE)*(1+$C$256)</f>
        <v>99531814.631850421</v>
      </c>
      <c r="D260" s="2">
        <f>VLOOKUP($B260,$B$9:$O$22,3,FALSE)*(1+$C$256)</f>
        <v>19560586.557725482</v>
      </c>
      <c r="E260" s="2">
        <f t="shared" ref="E260:E271" si="177">Q235</f>
        <v>74879712.944930494</v>
      </c>
      <c r="F260" s="4">
        <f t="shared" ref="F260:F271" si="178">C260-E260-D260</f>
        <v>5091515.1291944459</v>
      </c>
      <c r="G260" s="1">
        <f>1-H260</f>
        <v>0.9488453501221995</v>
      </c>
      <c r="H260" s="1">
        <f t="shared" ref="H260:H272" si="179">MAX(0,F260/C260)</f>
        <v>5.1154649877800468E-2</v>
      </c>
      <c r="I260" s="29">
        <f>MIN($C$5,($C$4*0.5))*$C$8</f>
        <v>1.9999999799999998E-2</v>
      </c>
      <c r="J260" s="2">
        <f t="shared" ref="J260:J271" si="180">I260*E260</f>
        <v>1497594.2439226671</v>
      </c>
      <c r="K260" s="16">
        <f t="shared" ref="K260:K271" si="181">H260/$H$273</f>
        <v>2.1520067770741214E-2</v>
      </c>
      <c r="L260" s="16">
        <f t="shared" ref="L260:L271" si="182">G260/$G$273</f>
        <v>9.8602513592333046E-2</v>
      </c>
      <c r="M260" s="2">
        <f>$J$273*IF($J$273&lt;0,L260,K260)</f>
        <v>1760846.5406850376</v>
      </c>
      <c r="N260" s="2">
        <f>J260+M260</f>
        <v>3258440.7846077047</v>
      </c>
      <c r="O260" s="16">
        <f t="shared" ref="O260:O272" si="183">N260/E260</f>
        <v>4.3515668750013656E-2</v>
      </c>
      <c r="Q260" s="2">
        <f t="shared" ref="Q260:Q271" si="184">N260+E260</f>
        <v>78138153.729538202</v>
      </c>
    </row>
    <row r="261" spans="1:17" x14ac:dyDescent="0.2">
      <c r="A261" s="250"/>
      <c r="B261" s="14" t="s">
        <v>1</v>
      </c>
      <c r="C261" s="2">
        <f t="shared" ref="C261:C271" si="185">VLOOKUP($B261,$B$9:$O$22,2,FALSE)*(1+$C$256)</f>
        <v>221701076.46638957</v>
      </c>
      <c r="D261" s="2">
        <f t="shared" ref="D261:D271" si="186">VLOOKUP($B261,$B$9:$O$22,3,FALSE)*(1+$C$256)</f>
        <v>74228881.397397235</v>
      </c>
      <c r="E261" s="2">
        <f t="shared" si="177"/>
        <v>108486978.76978633</v>
      </c>
      <c r="F261" s="4">
        <f t="shared" si="178"/>
        <v>38985216.299206004</v>
      </c>
      <c r="G261" s="1">
        <f t="shared" ref="G261:G271" si="187">1-H261</f>
        <v>0.82415414069892323</v>
      </c>
      <c r="H261" s="1">
        <f t="shared" si="179"/>
        <v>0.17584585930107677</v>
      </c>
      <c r="I261" s="29">
        <f t="shared" ref="I261:I271" si="188">MIN($C$5,($C$4*0.5))*$C$8</f>
        <v>1.9999999799999998E-2</v>
      </c>
      <c r="J261" s="2">
        <f t="shared" si="180"/>
        <v>2169739.5536983307</v>
      </c>
      <c r="K261" s="16">
        <f t="shared" si="181"/>
        <v>7.3975969308816017E-2</v>
      </c>
      <c r="L261" s="16">
        <f t="shared" si="182"/>
        <v>8.564479959771884E-2</v>
      </c>
      <c r="M261" s="2">
        <f t="shared" ref="M261:M271" si="189">$J$273*IF($J$273&lt;0,L261,K261)</f>
        <v>6052970.2340600323</v>
      </c>
      <c r="N261" s="2">
        <f>J261+M261</f>
        <v>8222709.7877583634</v>
      </c>
      <c r="O261" s="16">
        <f t="shared" si="183"/>
        <v>7.579443985814445E-2</v>
      </c>
      <c r="Q261" s="2">
        <f t="shared" si="184"/>
        <v>116709688.55754469</v>
      </c>
    </row>
    <row r="262" spans="1:17" x14ac:dyDescent="0.2">
      <c r="A262" s="250"/>
      <c r="B262" s="14" t="s">
        <v>2</v>
      </c>
      <c r="C262" s="2">
        <f t="shared" si="185"/>
        <v>150317635.44885305</v>
      </c>
      <c r="D262" s="2">
        <f t="shared" si="186"/>
        <v>37963200.822215684</v>
      </c>
      <c r="E262" s="2">
        <f t="shared" si="177"/>
        <v>90687420.370458812</v>
      </c>
      <c r="F262" s="4">
        <f t="shared" si="178"/>
        <v>21667014.25617855</v>
      </c>
      <c r="G262" s="1">
        <f t="shared" si="187"/>
        <v>0.85585846802685406</v>
      </c>
      <c r="H262" s="1">
        <f t="shared" si="179"/>
        <v>0.14414153197314597</v>
      </c>
      <c r="I262" s="29">
        <f t="shared" si="188"/>
        <v>1.9999999799999998E-2</v>
      </c>
      <c r="J262" s="2">
        <f t="shared" si="180"/>
        <v>1813748.3892716919</v>
      </c>
      <c r="K262" s="16">
        <f t="shared" si="181"/>
        <v>6.0638388573678939E-2</v>
      </c>
      <c r="L262" s="16">
        <f t="shared" si="182"/>
        <v>8.8939463333896157E-2</v>
      </c>
      <c r="M262" s="2">
        <f t="shared" si="189"/>
        <v>4961643.1458384776</v>
      </c>
      <c r="N262" s="2">
        <f t="shared" ref="N262:N268" si="190">J262+M262</f>
        <v>6775391.53511017</v>
      </c>
      <c r="O262" s="16">
        <f t="shared" si="183"/>
        <v>7.4711481564175536E-2</v>
      </c>
      <c r="Q262" s="2">
        <f t="shared" si="184"/>
        <v>97462811.905568987</v>
      </c>
    </row>
    <row r="263" spans="1:17" x14ac:dyDescent="0.2">
      <c r="A263" s="250"/>
      <c r="B263" s="14" t="s">
        <v>3</v>
      </c>
      <c r="C263" s="2">
        <f t="shared" si="185"/>
        <v>642119117.70471013</v>
      </c>
      <c r="D263" s="2">
        <f t="shared" si="186"/>
        <v>230388283.39799696</v>
      </c>
      <c r="E263" s="2">
        <f t="shared" si="177"/>
        <v>173533436.77797878</v>
      </c>
      <c r="F263" s="4">
        <f t="shared" si="178"/>
        <v>238197397.52873439</v>
      </c>
      <c r="G263" s="1">
        <f t="shared" si="187"/>
        <v>0.62904484392213078</v>
      </c>
      <c r="H263" s="1">
        <f t="shared" si="179"/>
        <v>0.37095515607786916</v>
      </c>
      <c r="I263" s="29">
        <f t="shared" si="188"/>
        <v>1.9999999799999998E-2</v>
      </c>
      <c r="J263" s="2">
        <f t="shared" si="180"/>
        <v>3470668.7008528877</v>
      </c>
      <c r="K263" s="16">
        <f t="shared" si="181"/>
        <v>0.15605580563588209</v>
      </c>
      <c r="L263" s="16">
        <f t="shared" si="182"/>
        <v>6.5369348930287549E-2</v>
      </c>
      <c r="M263" s="2">
        <f t="shared" si="189"/>
        <v>12769026.958240615</v>
      </c>
      <c r="N263" s="2">
        <f t="shared" si="190"/>
        <v>16239695.659093503</v>
      </c>
      <c r="O263" s="16">
        <f t="shared" si="183"/>
        <v>9.3582516203322863E-2</v>
      </c>
      <c r="Q263" s="2">
        <f t="shared" si="184"/>
        <v>189773132.43707228</v>
      </c>
    </row>
    <row r="264" spans="1:17" x14ac:dyDescent="0.2">
      <c r="A264" s="250"/>
      <c r="B264" s="14" t="s">
        <v>4</v>
      </c>
      <c r="C264" s="2">
        <f t="shared" si="185"/>
        <v>220708243.40120199</v>
      </c>
      <c r="D264" s="2">
        <f t="shared" si="186"/>
        <v>41639611.906602584</v>
      </c>
      <c r="E264" s="2">
        <f t="shared" si="177"/>
        <v>124930730.61147389</v>
      </c>
      <c r="F264" s="4">
        <f t="shared" si="178"/>
        <v>54137900.883125521</v>
      </c>
      <c r="G264" s="1">
        <f t="shared" si="187"/>
        <v>0.75470829703123499</v>
      </c>
      <c r="H264" s="1">
        <f t="shared" si="179"/>
        <v>0.24529170296876499</v>
      </c>
      <c r="I264" s="29">
        <f t="shared" si="188"/>
        <v>1.9999999799999998E-2</v>
      </c>
      <c r="J264" s="2">
        <f t="shared" si="180"/>
        <v>2498614.5872433311</v>
      </c>
      <c r="K264" s="16">
        <f t="shared" si="181"/>
        <v>0.10319089435854267</v>
      </c>
      <c r="L264" s="16">
        <f t="shared" si="182"/>
        <v>7.8428096956669496E-2</v>
      </c>
      <c r="M264" s="2">
        <f t="shared" si="189"/>
        <v>8443436.6702357568</v>
      </c>
      <c r="N264" s="2">
        <f t="shared" si="190"/>
        <v>10942051.257479088</v>
      </c>
      <c r="O264" s="16">
        <f t="shared" si="183"/>
        <v>8.7584945704897277E-2</v>
      </c>
      <c r="Q264" s="2">
        <f t="shared" si="184"/>
        <v>135872781.86895299</v>
      </c>
    </row>
    <row r="265" spans="1:17" x14ac:dyDescent="0.2">
      <c r="A265" s="250"/>
      <c r="B265" s="14" t="s">
        <v>5</v>
      </c>
      <c r="C265" s="2">
        <f t="shared" si="185"/>
        <v>548267658.05560088</v>
      </c>
      <c r="D265" s="2">
        <f t="shared" si="186"/>
        <v>173981860.5937553</v>
      </c>
      <c r="E265" s="2">
        <f t="shared" si="177"/>
        <v>189991573.88728315</v>
      </c>
      <c r="F265" s="4">
        <f t="shared" si="178"/>
        <v>184294223.57456243</v>
      </c>
      <c r="G265" s="1">
        <f t="shared" si="187"/>
        <v>0.66386085178149834</v>
      </c>
      <c r="H265" s="1">
        <f t="shared" si="179"/>
        <v>0.33613914821850172</v>
      </c>
      <c r="I265" s="29">
        <f t="shared" si="188"/>
        <v>1.9999999799999998E-2</v>
      </c>
      <c r="J265" s="2">
        <f t="shared" si="180"/>
        <v>3799831.4397473475</v>
      </c>
      <c r="K265" s="16">
        <f t="shared" si="181"/>
        <v>0.1414091830819196</v>
      </c>
      <c r="L265" s="16">
        <f t="shared" si="182"/>
        <v>6.8987373603899477E-2</v>
      </c>
      <c r="M265" s="2">
        <f t="shared" si="189"/>
        <v>11570589.530830227</v>
      </c>
      <c r="N265" s="2">
        <f t="shared" si="190"/>
        <v>15370420.970577575</v>
      </c>
      <c r="O265" s="16">
        <f t="shared" si="183"/>
        <v>8.0900540250782013E-2</v>
      </c>
      <c r="Q265" s="2">
        <f t="shared" si="184"/>
        <v>205361994.85786071</v>
      </c>
    </row>
    <row r="266" spans="1:17" x14ac:dyDescent="0.2">
      <c r="A266" s="250"/>
      <c r="B266" s="14" t="s">
        <v>6</v>
      </c>
      <c r="C266" s="2">
        <f t="shared" si="185"/>
        <v>396932878.72056079</v>
      </c>
      <c r="D266" s="2">
        <f t="shared" si="186"/>
        <v>173286453.53662568</v>
      </c>
      <c r="E266" s="2">
        <f t="shared" si="177"/>
        <v>185782244.12550262</v>
      </c>
      <c r="F266" s="4">
        <f t="shared" si="178"/>
        <v>37864181.05843249</v>
      </c>
      <c r="G266" s="1">
        <f t="shared" si="187"/>
        <v>0.90460810104599898</v>
      </c>
      <c r="H266" s="1">
        <f t="shared" si="179"/>
        <v>9.5391898954001048E-2</v>
      </c>
      <c r="I266" s="29">
        <f t="shared" si="188"/>
        <v>1.9999999799999998E-2</v>
      </c>
      <c r="J266" s="2">
        <f t="shared" si="180"/>
        <v>3715644.8453536029</v>
      </c>
      <c r="K266" s="16">
        <f t="shared" si="181"/>
        <v>4.0130078793886331E-2</v>
      </c>
      <c r="L266" s="16">
        <f t="shared" si="182"/>
        <v>9.4005448377478248E-2</v>
      </c>
      <c r="M266" s="2">
        <f t="shared" si="189"/>
        <v>3283582.1510611768</v>
      </c>
      <c r="N266" s="2">
        <f t="shared" si="190"/>
        <v>6999226.9964147797</v>
      </c>
      <c r="O266" s="16">
        <f t="shared" si="183"/>
        <v>3.7674359190572319E-2</v>
      </c>
      <c r="Q266" s="2">
        <f t="shared" si="184"/>
        <v>192781471.1219174</v>
      </c>
    </row>
    <row r="267" spans="1:17" x14ac:dyDescent="0.2">
      <c r="A267" s="250"/>
      <c r="B267" s="14" t="s">
        <v>7</v>
      </c>
      <c r="C267" s="2">
        <f t="shared" si="185"/>
        <v>441949971.18407816</v>
      </c>
      <c r="D267" s="2">
        <f t="shared" si="186"/>
        <v>177434210.55847779</v>
      </c>
      <c r="E267" s="2">
        <f t="shared" si="177"/>
        <v>144716257.91562691</v>
      </c>
      <c r="F267" s="4">
        <f t="shared" si="178"/>
        <v>119799502.70997342</v>
      </c>
      <c r="G267" s="1">
        <f t="shared" si="187"/>
        <v>0.72892971937750095</v>
      </c>
      <c r="H267" s="1">
        <f t="shared" si="179"/>
        <v>0.27107028062249905</v>
      </c>
      <c r="I267" s="29">
        <f t="shared" si="188"/>
        <v>1.9999999799999998E-2</v>
      </c>
      <c r="J267" s="2">
        <f t="shared" si="180"/>
        <v>2894325.1293692864</v>
      </c>
      <c r="K267" s="16">
        <f t="shared" si="181"/>
        <v>0.11403559253293913</v>
      </c>
      <c r="L267" s="16">
        <f t="shared" si="182"/>
        <v>7.5749227788826742E-2</v>
      </c>
      <c r="M267" s="2">
        <f t="shared" si="189"/>
        <v>9330787.4661808405</v>
      </c>
      <c r="N267" s="2">
        <f t="shared" si="190"/>
        <v>12225112.595550127</v>
      </c>
      <c r="O267" s="16">
        <f t="shared" si="183"/>
        <v>8.4476428368384593E-2</v>
      </c>
      <c r="Q267" s="2">
        <f t="shared" si="184"/>
        <v>156941370.51117703</v>
      </c>
    </row>
    <row r="268" spans="1:17" x14ac:dyDescent="0.2">
      <c r="A268" s="250"/>
      <c r="B268" s="14" t="s">
        <v>8</v>
      </c>
      <c r="C268" s="2">
        <f t="shared" si="185"/>
        <v>1223618847.8469615</v>
      </c>
      <c r="D268" s="2">
        <f t="shared" si="186"/>
        <v>451451113.51724654</v>
      </c>
      <c r="E268" s="2">
        <f t="shared" si="177"/>
        <v>375796160.43354607</v>
      </c>
      <c r="F268" s="4">
        <f t="shared" si="178"/>
        <v>396371573.89616889</v>
      </c>
      <c r="G268" s="1">
        <f t="shared" si="187"/>
        <v>0.67606614217032457</v>
      </c>
      <c r="H268" s="1">
        <f t="shared" si="179"/>
        <v>0.32393385782967543</v>
      </c>
      <c r="I268" s="29">
        <f t="shared" si="188"/>
        <v>1.9999999799999998E-2</v>
      </c>
      <c r="J268" s="2">
        <f t="shared" si="180"/>
        <v>7515923.1335116886</v>
      </c>
      <c r="K268" s="16">
        <f t="shared" si="181"/>
        <v>0.13627458286558417</v>
      </c>
      <c r="L268" s="16">
        <f t="shared" si="182"/>
        <v>7.0255728147985738E-2</v>
      </c>
      <c r="M268" s="2">
        <f t="shared" si="189"/>
        <v>11150458.742904577</v>
      </c>
      <c r="N268" s="2">
        <f t="shared" si="190"/>
        <v>18666381.876416266</v>
      </c>
      <c r="O268" s="16">
        <f t="shared" si="183"/>
        <v>4.9671560919838445E-2</v>
      </c>
      <c r="Q268" s="2">
        <f t="shared" si="184"/>
        <v>394462542.30996233</v>
      </c>
    </row>
    <row r="269" spans="1:17" x14ac:dyDescent="0.2">
      <c r="A269" s="250"/>
      <c r="B269" s="14" t="s">
        <v>9</v>
      </c>
      <c r="C269" s="2">
        <f t="shared" si="185"/>
        <v>124588327.82328381</v>
      </c>
      <c r="D269" s="2">
        <f t="shared" si="186"/>
        <v>53713713.299490884</v>
      </c>
      <c r="E269" s="2">
        <f t="shared" si="177"/>
        <v>62501186.307048604</v>
      </c>
      <c r="F269" s="4">
        <f t="shared" si="178"/>
        <v>8373428.2167443186</v>
      </c>
      <c r="G269" s="1">
        <f t="shared" si="187"/>
        <v>0.93279123042231371</v>
      </c>
      <c r="H269" s="1">
        <f t="shared" si="179"/>
        <v>6.7208769577686248E-2</v>
      </c>
      <c r="I269" s="29">
        <f t="shared" si="188"/>
        <v>1.9999999799999998E-2</v>
      </c>
      <c r="J269" s="2">
        <f t="shared" si="180"/>
        <v>1250023.7136407348</v>
      </c>
      <c r="K269" s="16">
        <f t="shared" si="181"/>
        <v>2.827381830498275E-2</v>
      </c>
      <c r="L269" s="16">
        <f t="shared" si="182"/>
        <v>9.6934194771234272E-2</v>
      </c>
      <c r="M269" s="2">
        <f t="shared" si="189"/>
        <v>2313461.8201330784</v>
      </c>
      <c r="N269" s="2">
        <f>J269+M269</f>
        <v>3563485.5337738134</v>
      </c>
      <c r="O269" s="16">
        <f t="shared" si="183"/>
        <v>5.7014686349592364E-2</v>
      </c>
      <c r="Q269" s="2">
        <f t="shared" si="184"/>
        <v>66064671.840822414</v>
      </c>
    </row>
    <row r="270" spans="1:17" x14ac:dyDescent="0.2">
      <c r="A270" s="250"/>
      <c r="B270" s="14" t="s">
        <v>10</v>
      </c>
      <c r="C270" s="2">
        <f t="shared" si="185"/>
        <v>1671031882.8225193</v>
      </c>
      <c r="D270" s="2">
        <f t="shared" si="186"/>
        <v>1107964032.592113</v>
      </c>
      <c r="E270" s="2">
        <f t="shared" si="177"/>
        <v>394660250.77893591</v>
      </c>
      <c r="F270" s="4">
        <f t="shared" si="178"/>
        <v>168407599.45147038</v>
      </c>
      <c r="G270" s="1">
        <f t="shared" si="187"/>
        <v>0.89921939779687798</v>
      </c>
      <c r="H270" s="1">
        <f t="shared" si="179"/>
        <v>0.10078060220312204</v>
      </c>
      <c r="I270" s="29">
        <f t="shared" si="188"/>
        <v>1.9999999799999998E-2</v>
      </c>
      <c r="J270" s="2">
        <f t="shared" si="180"/>
        <v>7893204.9366466673</v>
      </c>
      <c r="K270" s="16">
        <f t="shared" si="181"/>
        <v>4.2397033203593323E-2</v>
      </c>
      <c r="L270" s="16">
        <f t="shared" si="182"/>
        <v>9.3445462827358758E-2</v>
      </c>
      <c r="M270" s="2">
        <f t="shared" si="189"/>
        <v>3469072.2188782706</v>
      </c>
      <c r="N270" s="2">
        <f t="shared" ref="N270:N271" si="191">J270+M270</f>
        <v>11362277.155524937</v>
      </c>
      <c r="O270" s="16">
        <f t="shared" si="183"/>
        <v>2.8790021627714865E-2</v>
      </c>
      <c r="Q270" s="2">
        <f t="shared" si="184"/>
        <v>406022527.93446082</v>
      </c>
    </row>
    <row r="271" spans="1:17" x14ac:dyDescent="0.2">
      <c r="A271" s="250"/>
      <c r="B271" s="14" t="s">
        <v>11</v>
      </c>
      <c r="C271" s="2">
        <f t="shared" si="185"/>
        <v>262608726.63467374</v>
      </c>
      <c r="D271" s="2">
        <f t="shared" si="186"/>
        <v>91738923.522049159</v>
      </c>
      <c r="E271" s="2">
        <f t="shared" si="177"/>
        <v>119620695.13025209</v>
      </c>
      <c r="F271" s="4">
        <f t="shared" si="178"/>
        <v>51249107.982372493</v>
      </c>
      <c r="G271" s="1">
        <f t="shared" si="187"/>
        <v>0.80484613501185231</v>
      </c>
      <c r="H271" s="1">
        <f t="shared" si="179"/>
        <v>0.19515386498814766</v>
      </c>
      <c r="I271" s="29">
        <f t="shared" si="188"/>
        <v>1.9999999799999998E-2</v>
      </c>
      <c r="J271" s="2">
        <f t="shared" si="180"/>
        <v>2392413.8786809025</v>
      </c>
      <c r="K271" s="16">
        <f t="shared" si="181"/>
        <v>8.2098585569433613E-2</v>
      </c>
      <c r="L271" s="16">
        <f t="shared" si="182"/>
        <v>8.3638342072311703E-2</v>
      </c>
      <c r="M271" s="2">
        <f t="shared" si="189"/>
        <v>6717590.8521821797</v>
      </c>
      <c r="N271" s="2">
        <f t="shared" si="191"/>
        <v>9110004.7308630832</v>
      </c>
      <c r="O271" s="16">
        <f t="shared" si="183"/>
        <v>7.6157430124807565E-2</v>
      </c>
      <c r="Q271" s="2">
        <f t="shared" si="184"/>
        <v>128730699.86111517</v>
      </c>
    </row>
    <row r="272" spans="1:17" x14ac:dyDescent="0.2">
      <c r="A272" s="250"/>
      <c r="B272" s="15" t="s">
        <v>14</v>
      </c>
      <c r="C272" s="30">
        <f>SUM(C260:C271)</f>
        <v>6003376180.7406836</v>
      </c>
      <c r="D272" s="30">
        <f>SUM(D260:D271)</f>
        <v>2633350871.7016964</v>
      </c>
      <c r="E272" s="30">
        <f>SUM(E260:E271)</f>
        <v>2045586648.0528238</v>
      </c>
      <c r="F272" s="30">
        <f>SUM(F260:F271)</f>
        <v>1324438660.9861636</v>
      </c>
      <c r="G272" s="1">
        <f>1-H272</f>
        <v>0.77938436287982915</v>
      </c>
      <c r="H272" s="11">
        <f t="shared" si="179"/>
        <v>0.22061563712017082</v>
      </c>
      <c r="J272" s="30">
        <f>SUM(J260:J271)</f>
        <v>40911732.551939137</v>
      </c>
      <c r="K272" s="16"/>
      <c r="L272" s="16"/>
      <c r="M272" s="30">
        <f>SUM(M260:M271)</f>
        <v>81823466.331230253</v>
      </c>
      <c r="N272" s="30">
        <f>SUM(N260:N271)</f>
        <v>122735198.8831694</v>
      </c>
      <c r="O272" s="16">
        <f t="shared" si="183"/>
        <v>5.9999999999999984E-2</v>
      </c>
      <c r="Q272" s="3">
        <f>SUM(Q260:Q271)</f>
        <v>2168321846.9359927</v>
      </c>
    </row>
    <row r="273" spans="1:17" x14ac:dyDescent="0.2">
      <c r="C273" s="30"/>
      <c r="D273" s="30"/>
      <c r="E273" s="30"/>
      <c r="F273" s="30"/>
      <c r="G273" s="21">
        <f>SUM(G260:G271)</f>
        <v>9.6229326774077091</v>
      </c>
      <c r="H273" s="21">
        <f>SUM(H260:H271)</f>
        <v>2.3770673225922909</v>
      </c>
      <c r="I273" s="10" t="s">
        <v>30</v>
      </c>
      <c r="J273" s="17">
        <f>C255-SUM(J260:J271)</f>
        <v>81823466.331230283</v>
      </c>
    </row>
    <row r="276" spans="1:17" x14ac:dyDescent="0.2">
      <c r="A276" s="250">
        <v>11</v>
      </c>
      <c r="B276" t="s">
        <v>34</v>
      </c>
      <c r="C276" s="4">
        <f>Q272</f>
        <v>2168321846.9359927</v>
      </c>
      <c r="D276" s="4"/>
    </row>
    <row r="277" spans="1:17" x14ac:dyDescent="0.2">
      <c r="A277" s="250"/>
      <c r="B277" t="s">
        <v>27</v>
      </c>
      <c r="C277" s="6">
        <f>C276*(1+C278)</f>
        <v>2298421157.7521524</v>
      </c>
      <c r="D277" s="6"/>
    </row>
    <row r="278" spans="1:17" x14ac:dyDescent="0.2">
      <c r="A278" s="250"/>
      <c r="B278" t="s">
        <v>28</v>
      </c>
      <c r="C278" s="20">
        <f>C4</f>
        <v>0.06</v>
      </c>
      <c r="D278" s="20"/>
    </row>
    <row r="279" spans="1:17" x14ac:dyDescent="0.2">
      <c r="A279" s="250"/>
      <c r="B279" t="s">
        <v>16</v>
      </c>
      <c r="C279" s="20">
        <f>C5</f>
        <v>0.03</v>
      </c>
      <c r="D279" s="20"/>
    </row>
    <row r="280" spans="1:17" x14ac:dyDescent="0.2">
      <c r="A280" s="250"/>
      <c r="B280" t="s">
        <v>31</v>
      </c>
      <c r="C280" s="6">
        <f>C277-C276</f>
        <v>130099310.81615973</v>
      </c>
      <c r="D280" s="6"/>
    </row>
    <row r="281" spans="1:17" x14ac:dyDescent="0.2">
      <c r="A281" s="250"/>
      <c r="B281" t="s">
        <v>48</v>
      </c>
      <c r="C281" s="20">
        <f>((1+$C$5)^A276)-1</f>
        <v>0.38423387072444548</v>
      </c>
      <c r="D281" s="20"/>
    </row>
    <row r="282" spans="1:17" ht="21" x14ac:dyDescent="0.25">
      <c r="A282" s="250"/>
      <c r="F282" s="6"/>
      <c r="G282" s="6"/>
      <c r="I282" s="251" t="s">
        <v>18</v>
      </c>
      <c r="J282" s="251"/>
      <c r="K282" s="251"/>
      <c r="L282" s="251"/>
      <c r="M282" s="251"/>
      <c r="N282" s="251"/>
      <c r="O282" s="251"/>
    </row>
    <row r="283" spans="1:17" x14ac:dyDescent="0.2">
      <c r="A283" s="250" t="s">
        <v>51</v>
      </c>
      <c r="I283" s="255" t="s">
        <v>19</v>
      </c>
      <c r="J283" s="255"/>
      <c r="K283" s="255"/>
      <c r="L283" s="255"/>
      <c r="M283" s="255"/>
      <c r="N283" s="255"/>
      <c r="O283" s="255"/>
    </row>
    <row r="284" spans="1:17" ht="49" thickBot="1" x14ac:dyDescent="0.25">
      <c r="A284" s="250"/>
      <c r="B284" s="22" t="s">
        <v>12</v>
      </c>
      <c r="C284" s="13" t="s">
        <v>15</v>
      </c>
      <c r="D284" s="13" t="s">
        <v>63</v>
      </c>
      <c r="E284" s="13" t="s">
        <v>29</v>
      </c>
      <c r="F284" s="13" t="s">
        <v>13</v>
      </c>
      <c r="G284" s="13" t="s">
        <v>50</v>
      </c>
      <c r="H284" s="13" t="s">
        <v>17</v>
      </c>
      <c r="I284" s="28" t="s">
        <v>20</v>
      </c>
      <c r="J284" s="28" t="s">
        <v>21</v>
      </c>
      <c r="K284" s="28" t="s">
        <v>22</v>
      </c>
      <c r="L284" s="28" t="s">
        <v>49</v>
      </c>
      <c r="M284" s="28" t="s">
        <v>23</v>
      </c>
      <c r="N284" s="28" t="s">
        <v>24</v>
      </c>
      <c r="O284" s="28" t="s">
        <v>25</v>
      </c>
      <c r="Q284" s="28" t="s">
        <v>32</v>
      </c>
    </row>
    <row r="285" spans="1:17" ht="16" thickTop="1" x14ac:dyDescent="0.2">
      <c r="A285" s="250"/>
      <c r="B285" s="14" t="s">
        <v>0</v>
      </c>
      <c r="C285" s="2">
        <f>VLOOKUP($B285,$B$9:$O$22,2,FALSE)*(1+$C$281)</f>
        <v>102517769.07080594</v>
      </c>
      <c r="D285" s="2">
        <f>VLOOKUP($B285,$B$9:$O$22,3,FALSE)*(1+$C$281)</f>
        <v>20147404.154457245</v>
      </c>
      <c r="E285" s="2">
        <f t="shared" ref="E285:E296" si="192">Q260</f>
        <v>78138153.729538202</v>
      </c>
      <c r="F285" s="4">
        <f t="shared" ref="F285:F296" si="193">C285-E285-D285</f>
        <v>4232211.1868104897</v>
      </c>
      <c r="G285" s="1">
        <f>1-H285</f>
        <v>0.95871729140060169</v>
      </c>
      <c r="H285" s="1">
        <f t="shared" ref="H285:H297" si="194">MAX(0,F285/C285)</f>
        <v>4.1282708599398303E-2</v>
      </c>
      <c r="I285" s="29">
        <f>MIN($C$5,($C$4*0.5))*$C$8</f>
        <v>1.9999999799999998E-2</v>
      </c>
      <c r="J285" s="2">
        <f t="shared" ref="J285:J296" si="195">I285*E285</f>
        <v>1562763.058963133</v>
      </c>
      <c r="K285" s="16">
        <f t="shared" ref="K285:K296" si="196">H285/$H$298</f>
        <v>1.8817627086442277E-2</v>
      </c>
      <c r="L285" s="16">
        <f t="shared" ref="L285:L296" si="197">G285/$G$298</f>
        <v>9.7766759789363167E-2</v>
      </c>
      <c r="M285" s="2">
        <f>$J$298*IF($J$298&lt;0,L285,K285)</f>
        <v>1632106.8849216287</v>
      </c>
      <c r="N285" s="2">
        <f>J285+M285</f>
        <v>3194869.943884762</v>
      </c>
      <c r="O285" s="16">
        <f t="shared" ref="O285:O297" si="198">N285/E285</f>
        <v>4.0887451154057917E-2</v>
      </c>
      <c r="Q285" s="2">
        <f t="shared" ref="Q285:Q296" si="199">N285+E285</f>
        <v>81333023.673422962</v>
      </c>
    </row>
    <row r="286" spans="1:17" x14ac:dyDescent="0.2">
      <c r="A286" s="250"/>
      <c r="B286" s="14" t="s">
        <v>1</v>
      </c>
      <c r="C286" s="2">
        <f t="shared" ref="C286:C296" si="200">VLOOKUP($B286,$B$9:$O$22,2,FALSE)*(1+$C$281)</f>
        <v>228352108.76038125</v>
      </c>
      <c r="D286" s="2">
        <f t="shared" ref="D286:D296" si="201">VLOOKUP($B286,$B$9:$O$22,3,FALSE)*(1+$C$281)</f>
        <v>76455747.83931917</v>
      </c>
      <c r="E286" s="2">
        <f t="shared" si="192"/>
        <v>116709688.55754469</v>
      </c>
      <c r="F286" s="4">
        <f t="shared" si="193"/>
        <v>35186672.363517389</v>
      </c>
      <c r="G286" s="1">
        <f t="shared" ref="G286:G296" si="202">1-H286</f>
        <v>0.84591045576706225</v>
      </c>
      <c r="H286" s="1">
        <f t="shared" si="194"/>
        <v>0.1540895442329378</v>
      </c>
      <c r="I286" s="29">
        <f t="shared" ref="I286:I296" si="203">MIN($C$5,($C$4*0.5))*$C$8</f>
        <v>1.9999999799999998E-2</v>
      </c>
      <c r="J286" s="2">
        <f t="shared" si="195"/>
        <v>2334193.7478089561</v>
      </c>
      <c r="K286" s="16">
        <f t="shared" si="196"/>
        <v>7.0237629256175743E-2</v>
      </c>
      <c r="L286" s="16">
        <f t="shared" si="197"/>
        <v>8.6263098698750748E-2</v>
      </c>
      <c r="M286" s="2">
        <f t="shared" ref="M286:M296" si="204">$J$298*IF($J$298&lt;0,L286,K286)</f>
        <v>6091911.4701858284</v>
      </c>
      <c r="N286" s="2">
        <f>J286+M286</f>
        <v>8426105.2179947849</v>
      </c>
      <c r="O286" s="16">
        <f t="shared" si="198"/>
        <v>7.2197135663164949E-2</v>
      </c>
      <c r="Q286" s="2">
        <f t="shared" si="199"/>
        <v>125135793.77553947</v>
      </c>
    </row>
    <row r="287" spans="1:17" x14ac:dyDescent="0.2">
      <c r="A287" s="250"/>
      <c r="B287" s="14" t="s">
        <v>2</v>
      </c>
      <c r="C287" s="2">
        <f t="shared" si="200"/>
        <v>154827164.51231864</v>
      </c>
      <c r="D287" s="2">
        <f t="shared" si="201"/>
        <v>39102096.846882157</v>
      </c>
      <c r="E287" s="2">
        <f t="shared" si="192"/>
        <v>97462811.905568987</v>
      </c>
      <c r="F287" s="4">
        <f t="shared" si="193"/>
        <v>18262255.759867497</v>
      </c>
      <c r="G287" s="1">
        <f t="shared" si="202"/>
        <v>0.88204747004577166</v>
      </c>
      <c r="H287" s="1">
        <f t="shared" si="194"/>
        <v>0.11795252995422829</v>
      </c>
      <c r="I287" s="29">
        <f t="shared" si="203"/>
        <v>1.9999999799999998E-2</v>
      </c>
      <c r="J287" s="2">
        <f t="shared" si="195"/>
        <v>1949256.2186188172</v>
      </c>
      <c r="K287" s="16">
        <f t="shared" si="196"/>
        <v>5.3765530360898636E-2</v>
      </c>
      <c r="L287" s="16">
        <f t="shared" si="197"/>
        <v>8.9948229681764497E-2</v>
      </c>
      <c r="M287" s="2">
        <f t="shared" si="204"/>
        <v>4663238.9870616803</v>
      </c>
      <c r="N287" s="2">
        <f t="shared" ref="N287:N293" si="205">J287+M287</f>
        <v>6612495.205680497</v>
      </c>
      <c r="O287" s="16">
        <f t="shared" si="198"/>
        <v>6.7846341352097411E-2</v>
      </c>
      <c r="Q287" s="2">
        <f t="shared" si="199"/>
        <v>104075307.11124948</v>
      </c>
    </row>
    <row r="288" spans="1:17" x14ac:dyDescent="0.2">
      <c r="A288" s="250"/>
      <c r="B288" s="14" t="s">
        <v>3</v>
      </c>
      <c r="C288" s="2">
        <f t="shared" si="200"/>
        <v>661382691.23585153</v>
      </c>
      <c r="D288" s="2">
        <f t="shared" si="201"/>
        <v>237299931.89993688</v>
      </c>
      <c r="E288" s="2">
        <f t="shared" si="192"/>
        <v>189773132.43707228</v>
      </c>
      <c r="F288" s="4">
        <f t="shared" si="193"/>
        <v>234309626.89884236</v>
      </c>
      <c r="G288" s="1">
        <f t="shared" si="202"/>
        <v>0.64572760974283394</v>
      </c>
      <c r="H288" s="1">
        <f t="shared" si="194"/>
        <v>0.35427239025716606</v>
      </c>
      <c r="I288" s="29">
        <f t="shared" si="203"/>
        <v>1.9999999799999998E-2</v>
      </c>
      <c r="J288" s="2">
        <f t="shared" si="195"/>
        <v>3795462.6107868184</v>
      </c>
      <c r="K288" s="16">
        <f t="shared" si="196"/>
        <v>0.16148566683386328</v>
      </c>
      <c r="L288" s="16">
        <f t="shared" si="197"/>
        <v>6.5849126408118588E-2</v>
      </c>
      <c r="M288" s="2">
        <f t="shared" si="204"/>
        <v>14006116.044546319</v>
      </c>
      <c r="N288" s="2">
        <f t="shared" si="205"/>
        <v>17801578.655333139</v>
      </c>
      <c r="O288" s="16">
        <f t="shared" si="198"/>
        <v>9.3804525576011363E-2</v>
      </c>
      <c r="Q288" s="2">
        <f t="shared" si="199"/>
        <v>207574711.09240541</v>
      </c>
    </row>
    <row r="289" spans="1:17" x14ac:dyDescent="0.2">
      <c r="A289" s="250"/>
      <c r="B289" s="14" t="s">
        <v>4</v>
      </c>
      <c r="C289" s="2">
        <f t="shared" si="200"/>
        <v>227329490.70323807</v>
      </c>
      <c r="D289" s="2">
        <f t="shared" si="201"/>
        <v>42888800.263800658</v>
      </c>
      <c r="E289" s="2">
        <f t="shared" si="192"/>
        <v>135872781.86895299</v>
      </c>
      <c r="F289" s="4">
        <f t="shared" si="193"/>
        <v>48567908.570484422</v>
      </c>
      <c r="G289" s="1">
        <f t="shared" si="202"/>
        <v>0.78635456218090838</v>
      </c>
      <c r="H289" s="1">
        <f t="shared" si="194"/>
        <v>0.21364543781909165</v>
      </c>
      <c r="I289" s="29">
        <f t="shared" si="203"/>
        <v>1.9999999799999998E-2</v>
      </c>
      <c r="J289" s="2">
        <f t="shared" si="195"/>
        <v>2717455.6102045029</v>
      </c>
      <c r="K289" s="16">
        <f t="shared" si="196"/>
        <v>9.7384602754916005E-2</v>
      </c>
      <c r="L289" s="16">
        <f t="shared" si="197"/>
        <v>8.0189789294085601E-2</v>
      </c>
      <c r="M289" s="2">
        <f t="shared" si="204"/>
        <v>8446446.5105789453</v>
      </c>
      <c r="N289" s="2">
        <f t="shared" si="205"/>
        <v>11163902.120783448</v>
      </c>
      <c r="O289" s="16">
        <f t="shared" si="198"/>
        <v>8.2164374403924725E-2</v>
      </c>
      <c r="Q289" s="2">
        <f t="shared" si="199"/>
        <v>147036683.98973644</v>
      </c>
    </row>
    <row r="290" spans="1:17" x14ac:dyDescent="0.2">
      <c r="A290" s="250"/>
      <c r="B290" s="14" t="s">
        <v>5</v>
      </c>
      <c r="C290" s="2">
        <f t="shared" si="200"/>
        <v>564715687.79726887</v>
      </c>
      <c r="D290" s="2">
        <f t="shared" si="201"/>
        <v>179201316.41156796</v>
      </c>
      <c r="E290" s="2">
        <f t="shared" si="192"/>
        <v>205361994.85786071</v>
      </c>
      <c r="F290" s="4">
        <f t="shared" si="193"/>
        <v>180152376.52784023</v>
      </c>
      <c r="G290" s="1">
        <f t="shared" si="202"/>
        <v>0.68098570586812812</v>
      </c>
      <c r="H290" s="1">
        <f t="shared" si="194"/>
        <v>0.31901429413187182</v>
      </c>
      <c r="I290" s="29">
        <f t="shared" si="203"/>
        <v>1.9999999799999998E-2</v>
      </c>
      <c r="J290" s="2">
        <f t="shared" si="195"/>
        <v>4107239.8560848148</v>
      </c>
      <c r="K290" s="16">
        <f t="shared" si="196"/>
        <v>0.14541419945264131</v>
      </c>
      <c r="L290" s="16">
        <f t="shared" si="197"/>
        <v>6.9444628278618969E-2</v>
      </c>
      <c r="M290" s="2">
        <f t="shared" si="204"/>
        <v>12612191.484175781</v>
      </c>
      <c r="N290" s="2">
        <f t="shared" si="205"/>
        <v>16719431.340260595</v>
      </c>
      <c r="O290" s="16">
        <f t="shared" si="198"/>
        <v>8.1414437719271204E-2</v>
      </c>
      <c r="Q290" s="2">
        <f t="shared" si="199"/>
        <v>222081426.19812131</v>
      </c>
    </row>
    <row r="291" spans="1:17" x14ac:dyDescent="0.2">
      <c r="A291" s="250"/>
      <c r="B291" s="14" t="s">
        <v>6</v>
      </c>
      <c r="C291" s="2">
        <f t="shared" si="200"/>
        <v>408840865.08217764</v>
      </c>
      <c r="D291" s="2">
        <f t="shared" si="201"/>
        <v>178485047.14272445</v>
      </c>
      <c r="E291" s="2">
        <f t="shared" si="192"/>
        <v>192781471.1219174</v>
      </c>
      <c r="F291" s="4">
        <f t="shared" si="193"/>
        <v>37574346.817535788</v>
      </c>
      <c r="G291" s="1">
        <f t="shared" si="202"/>
        <v>0.90809542287319223</v>
      </c>
      <c r="H291" s="1">
        <f t="shared" si="194"/>
        <v>9.1904577126807732E-2</v>
      </c>
      <c r="I291" s="29">
        <f t="shared" si="203"/>
        <v>1.9999999799999998E-2</v>
      </c>
      <c r="J291" s="2">
        <f t="shared" si="195"/>
        <v>3855629.3838820532</v>
      </c>
      <c r="K291" s="16">
        <f t="shared" si="196"/>
        <v>4.1892262368042561E-2</v>
      </c>
      <c r="L291" s="16">
        <f t="shared" si="197"/>
        <v>9.2604512164541769E-2</v>
      </c>
      <c r="M291" s="2">
        <f t="shared" si="204"/>
        <v>3633436.3265752373</v>
      </c>
      <c r="N291" s="2">
        <f t="shared" si="205"/>
        <v>7489065.7104572905</v>
      </c>
      <c r="O291" s="16">
        <f t="shared" si="198"/>
        <v>3.8847435217055235E-2</v>
      </c>
      <c r="Q291" s="2">
        <f t="shared" si="199"/>
        <v>200270536.83237469</v>
      </c>
    </row>
    <row r="292" spans="1:17" x14ac:dyDescent="0.2">
      <c r="A292" s="250"/>
      <c r="B292" s="14" t="s">
        <v>7</v>
      </c>
      <c r="C292" s="2">
        <f t="shared" si="200"/>
        <v>455208470.31960052</v>
      </c>
      <c r="D292" s="2">
        <f t="shared" si="201"/>
        <v>182757236.87523213</v>
      </c>
      <c r="E292" s="2">
        <f t="shared" si="192"/>
        <v>156941370.51117703</v>
      </c>
      <c r="F292" s="4">
        <f t="shared" si="193"/>
        <v>115509862.93319139</v>
      </c>
      <c r="G292" s="1">
        <f t="shared" si="202"/>
        <v>0.74624843238946714</v>
      </c>
      <c r="H292" s="1">
        <f t="shared" si="194"/>
        <v>0.25375156761053291</v>
      </c>
      <c r="I292" s="29">
        <f t="shared" si="203"/>
        <v>1.9999999799999998E-2</v>
      </c>
      <c r="J292" s="2">
        <f t="shared" si="195"/>
        <v>3138827.378835266</v>
      </c>
      <c r="K292" s="16">
        <f t="shared" si="196"/>
        <v>0.11566591761773957</v>
      </c>
      <c r="L292" s="16">
        <f t="shared" si="197"/>
        <v>7.6099901281663759E-2</v>
      </c>
      <c r="M292" s="2">
        <f t="shared" si="204"/>
        <v>10032037.494817944</v>
      </c>
      <c r="N292" s="2">
        <f t="shared" si="205"/>
        <v>13170864.873653211</v>
      </c>
      <c r="O292" s="16">
        <f t="shared" si="198"/>
        <v>8.3922198657715996E-2</v>
      </c>
      <c r="Q292" s="2">
        <f t="shared" si="199"/>
        <v>170112235.38483024</v>
      </c>
    </row>
    <row r="293" spans="1:17" x14ac:dyDescent="0.2">
      <c r="A293" s="250"/>
      <c r="B293" s="14" t="s">
        <v>8</v>
      </c>
      <c r="C293" s="2">
        <f t="shared" si="200"/>
        <v>1260327413.2823706</v>
      </c>
      <c r="D293" s="2">
        <f t="shared" si="201"/>
        <v>464994646.92276394</v>
      </c>
      <c r="E293" s="2">
        <f t="shared" si="192"/>
        <v>394462542.30996233</v>
      </c>
      <c r="F293" s="4">
        <f t="shared" si="193"/>
        <v>400870224.04964435</v>
      </c>
      <c r="G293" s="1">
        <f t="shared" si="202"/>
        <v>0.68193167916134878</v>
      </c>
      <c r="H293" s="1">
        <f t="shared" si="194"/>
        <v>0.31806832083865116</v>
      </c>
      <c r="I293" s="29">
        <f t="shared" si="203"/>
        <v>1.9999999799999998E-2</v>
      </c>
      <c r="J293" s="2">
        <f t="shared" si="195"/>
        <v>7889250.7673067376</v>
      </c>
      <c r="K293" s="16">
        <f t="shared" si="196"/>
        <v>0.14498300263272579</v>
      </c>
      <c r="L293" s="16">
        <f t="shared" si="197"/>
        <v>6.9541095448404061E-2</v>
      </c>
      <c r="M293" s="2">
        <f t="shared" si="204"/>
        <v>12574792.5445907</v>
      </c>
      <c r="N293" s="2">
        <f t="shared" si="205"/>
        <v>20464043.311897438</v>
      </c>
      <c r="O293" s="16">
        <f t="shared" si="198"/>
        <v>5.1878292909791977E-2</v>
      </c>
      <c r="Q293" s="2">
        <f t="shared" si="199"/>
        <v>414926585.62185979</v>
      </c>
    </row>
    <row r="294" spans="1:17" x14ac:dyDescent="0.2">
      <c r="A294" s="250"/>
      <c r="B294" s="14" t="s">
        <v>9</v>
      </c>
      <c r="C294" s="2">
        <f t="shared" si="200"/>
        <v>128325977.65798232</v>
      </c>
      <c r="D294" s="2">
        <f t="shared" si="201"/>
        <v>55325124.698475614</v>
      </c>
      <c r="E294" s="2">
        <f t="shared" si="192"/>
        <v>66064671.840822414</v>
      </c>
      <c r="F294" s="4">
        <f t="shared" si="193"/>
        <v>6936181.1186842918</v>
      </c>
      <c r="G294" s="1">
        <f t="shared" si="202"/>
        <v>0.94594873738526442</v>
      </c>
      <c r="H294" s="1">
        <f t="shared" si="194"/>
        <v>5.4051262614735571E-2</v>
      </c>
      <c r="I294" s="29">
        <f t="shared" si="203"/>
        <v>1.9999999799999998E-2</v>
      </c>
      <c r="J294" s="2">
        <f t="shared" si="195"/>
        <v>1321293.4236035137</v>
      </c>
      <c r="K294" s="16">
        <f t="shared" si="196"/>
        <v>2.463783356139276E-2</v>
      </c>
      <c r="L294" s="16">
        <f t="shared" si="197"/>
        <v>9.64646656637307E-2</v>
      </c>
      <c r="M294" s="2">
        <f t="shared" si="204"/>
        <v>2136910.121578184</v>
      </c>
      <c r="N294" s="2">
        <f>J294+M294</f>
        <v>3458203.5451816977</v>
      </c>
      <c r="O294" s="16">
        <f t="shared" si="198"/>
        <v>5.2345731066582225E-2</v>
      </c>
      <c r="Q294" s="2">
        <f t="shared" si="199"/>
        <v>69522875.386004105</v>
      </c>
    </row>
    <row r="295" spans="1:17" x14ac:dyDescent="0.2">
      <c r="A295" s="250"/>
      <c r="B295" s="14" t="s">
        <v>10</v>
      </c>
      <c r="C295" s="2">
        <f t="shared" si="200"/>
        <v>1721162839.3071949</v>
      </c>
      <c r="D295" s="2">
        <f t="shared" si="201"/>
        <v>1141202953.5698764</v>
      </c>
      <c r="E295" s="2">
        <f t="shared" si="192"/>
        <v>406022527.93446082</v>
      </c>
      <c r="F295" s="4">
        <f t="shared" si="193"/>
        <v>173937357.80285764</v>
      </c>
      <c r="G295" s="1">
        <f t="shared" si="202"/>
        <v>0.89894195143507094</v>
      </c>
      <c r="H295" s="1">
        <f t="shared" si="194"/>
        <v>0.10105804856492902</v>
      </c>
      <c r="I295" s="29">
        <f t="shared" si="203"/>
        <v>1.9999999799999998E-2</v>
      </c>
      <c r="J295" s="2">
        <f t="shared" si="195"/>
        <v>8120450.4774847096</v>
      </c>
      <c r="K295" s="16">
        <f t="shared" si="196"/>
        <v>4.6064629393191621E-2</v>
      </c>
      <c r="L295" s="16">
        <f t="shared" si="197"/>
        <v>9.167107198216827E-2</v>
      </c>
      <c r="M295" s="2">
        <f t="shared" si="204"/>
        <v>3995317.7113472866</v>
      </c>
      <c r="N295" s="2">
        <f t="shared" ref="N295:N296" si="206">J295+M295</f>
        <v>12115768.188831996</v>
      </c>
      <c r="O295" s="16">
        <f t="shared" si="198"/>
        <v>2.9840137813209454E-2</v>
      </c>
      <c r="Q295" s="2">
        <f t="shared" si="199"/>
        <v>418138296.1232928</v>
      </c>
    </row>
    <row r="296" spans="1:17" x14ac:dyDescent="0.2">
      <c r="A296" s="250"/>
      <c r="B296" s="14" t="s">
        <v>11</v>
      </c>
      <c r="C296" s="2">
        <f t="shared" si="200"/>
        <v>270486988.43371397</v>
      </c>
      <c r="D296" s="2">
        <f t="shared" si="201"/>
        <v>94491091.227710634</v>
      </c>
      <c r="E296" s="2">
        <f t="shared" si="192"/>
        <v>128730699.86111517</v>
      </c>
      <c r="F296" s="4">
        <f t="shared" si="193"/>
        <v>47265197.34488818</v>
      </c>
      <c r="G296" s="1">
        <f t="shared" si="202"/>
        <v>0.82525888724414154</v>
      </c>
      <c r="H296" s="1">
        <f t="shared" si="194"/>
        <v>0.17474111275585841</v>
      </c>
      <c r="I296" s="29">
        <f t="shared" si="203"/>
        <v>1.9999999799999998E-2</v>
      </c>
      <c r="J296" s="2">
        <f t="shared" si="195"/>
        <v>2574613.9714761632</v>
      </c>
      <c r="K296" s="16">
        <f t="shared" si="196"/>
        <v>7.9651098681970484E-2</v>
      </c>
      <c r="L296" s="16">
        <f t="shared" si="197"/>
        <v>8.415712130879012E-2</v>
      </c>
      <c r="M296" s="2">
        <f t="shared" si="204"/>
        <v>6908368.7307247063</v>
      </c>
      <c r="N296" s="2">
        <f t="shared" si="206"/>
        <v>9482982.7022008691</v>
      </c>
      <c r="O296" s="16">
        <f t="shared" si="198"/>
        <v>7.3665277299291149E-2</v>
      </c>
      <c r="Q296" s="2">
        <f t="shared" si="199"/>
        <v>138213682.56331605</v>
      </c>
    </row>
    <row r="297" spans="1:17" x14ac:dyDescent="0.2">
      <c r="A297" s="250"/>
      <c r="B297" s="15" t="s">
        <v>14</v>
      </c>
      <c r="C297" s="30">
        <f>SUM(C285:C296)</f>
        <v>6183477466.1629038</v>
      </c>
      <c r="D297" s="30">
        <f>SUM(D285:D296)</f>
        <v>2712351397.8527474</v>
      </c>
      <c r="E297" s="30">
        <f>SUM(E285:E296)</f>
        <v>2168321846.9359927</v>
      </c>
      <c r="F297" s="30">
        <f>SUM(F285:F296)</f>
        <v>1302804221.3741639</v>
      </c>
      <c r="G297" s="1">
        <f>1-H297</f>
        <v>0.78930881069699987</v>
      </c>
      <c r="H297" s="11">
        <f t="shared" si="194"/>
        <v>0.21069118930300013</v>
      </c>
      <c r="J297" s="30">
        <f>SUM(J285:J296)</f>
        <v>43366436.50505548</v>
      </c>
      <c r="K297" s="16"/>
      <c r="L297" s="16"/>
      <c r="M297" s="30">
        <f>SUM(M285:M296)</f>
        <v>86732874.311104238</v>
      </c>
      <c r="N297" s="30">
        <f>SUM(N285:N296)</f>
        <v>130099310.81615974</v>
      </c>
      <c r="O297" s="16">
        <f t="shared" si="198"/>
        <v>6.0000000000000081E-2</v>
      </c>
      <c r="Q297" s="3">
        <f>SUM(Q285:Q296)</f>
        <v>2298421157.7521524</v>
      </c>
    </row>
    <row r="298" spans="1:17" x14ac:dyDescent="0.2">
      <c r="C298" s="30"/>
      <c r="D298" s="30"/>
      <c r="E298" s="30"/>
      <c r="F298" s="30"/>
      <c r="G298" s="21">
        <f>SUM(G285:G296)</f>
        <v>9.8061682054937886</v>
      </c>
      <c r="H298" s="21">
        <f>SUM(H285:H296)</f>
        <v>2.1938317945062087</v>
      </c>
      <c r="I298" s="10" t="s">
        <v>30</v>
      </c>
      <c r="J298" s="17">
        <f>C280-SUM(J285:J296)</f>
        <v>86732874.311104238</v>
      </c>
    </row>
    <row r="301" spans="1:17" x14ac:dyDescent="0.2">
      <c r="A301" s="250">
        <v>12</v>
      </c>
      <c r="B301" t="s">
        <v>34</v>
      </c>
      <c r="C301" s="4">
        <f>Q297</f>
        <v>2298421157.7521524</v>
      </c>
      <c r="D301" s="4"/>
    </row>
    <row r="302" spans="1:17" x14ac:dyDescent="0.2">
      <c r="A302" s="250"/>
      <c r="B302" t="s">
        <v>27</v>
      </c>
      <c r="C302" s="6">
        <f>C301*(1+C303)</f>
        <v>2436326427.2172818</v>
      </c>
      <c r="D302" s="6"/>
    </row>
    <row r="303" spans="1:17" x14ac:dyDescent="0.2">
      <c r="A303" s="250"/>
      <c r="B303" t="s">
        <v>28</v>
      </c>
      <c r="C303" s="20">
        <f>C4</f>
        <v>0.06</v>
      </c>
      <c r="D303" s="20"/>
    </row>
    <row r="304" spans="1:17" x14ac:dyDescent="0.2">
      <c r="A304" s="250"/>
      <c r="B304" t="s">
        <v>16</v>
      </c>
      <c r="C304" s="20">
        <f>C5</f>
        <v>0.03</v>
      </c>
      <c r="D304" s="20"/>
    </row>
    <row r="305" spans="1:17" x14ac:dyDescent="0.2">
      <c r="A305" s="250"/>
      <c r="B305" t="s">
        <v>31</v>
      </c>
      <c r="C305" s="6">
        <f>C302-C301</f>
        <v>137905269.46512938</v>
      </c>
      <c r="D305" s="6"/>
    </row>
    <row r="306" spans="1:17" x14ac:dyDescent="0.2">
      <c r="A306" s="250"/>
      <c r="B306" t="s">
        <v>48</v>
      </c>
      <c r="C306" s="20">
        <f>((1+$C$5)^A301)-1</f>
        <v>0.42576088684617863</v>
      </c>
      <c r="D306" s="20"/>
    </row>
    <row r="307" spans="1:17" ht="21" x14ac:dyDescent="0.25">
      <c r="A307" s="250"/>
      <c r="F307" s="6"/>
      <c r="G307" s="6"/>
      <c r="I307" s="251" t="s">
        <v>18</v>
      </c>
      <c r="J307" s="251"/>
      <c r="K307" s="251"/>
      <c r="L307" s="251"/>
      <c r="M307" s="251"/>
      <c r="N307" s="251"/>
      <c r="O307" s="251"/>
    </row>
    <row r="308" spans="1:17" x14ac:dyDescent="0.2">
      <c r="A308" s="250" t="s">
        <v>51</v>
      </c>
      <c r="I308" s="255" t="s">
        <v>19</v>
      </c>
      <c r="J308" s="255"/>
      <c r="K308" s="255"/>
      <c r="L308" s="255"/>
      <c r="M308" s="255"/>
      <c r="N308" s="255"/>
      <c r="O308" s="255"/>
    </row>
    <row r="309" spans="1:17" ht="49" thickBot="1" x14ac:dyDescent="0.25">
      <c r="A309" s="250"/>
      <c r="B309" s="22" t="s">
        <v>12</v>
      </c>
      <c r="C309" s="13" t="s">
        <v>15</v>
      </c>
      <c r="D309" s="13" t="s">
        <v>63</v>
      </c>
      <c r="E309" s="13" t="s">
        <v>29</v>
      </c>
      <c r="F309" s="13" t="s">
        <v>13</v>
      </c>
      <c r="G309" s="13" t="s">
        <v>50</v>
      </c>
      <c r="H309" s="13" t="s">
        <v>17</v>
      </c>
      <c r="I309" s="28" t="s">
        <v>20</v>
      </c>
      <c r="J309" s="28" t="s">
        <v>21</v>
      </c>
      <c r="K309" s="28" t="s">
        <v>22</v>
      </c>
      <c r="L309" s="28" t="s">
        <v>49</v>
      </c>
      <c r="M309" s="28" t="s">
        <v>23</v>
      </c>
      <c r="N309" s="28" t="s">
        <v>24</v>
      </c>
      <c r="O309" s="28" t="s">
        <v>25</v>
      </c>
      <c r="Q309" s="28" t="s">
        <v>32</v>
      </c>
    </row>
    <row r="310" spans="1:17" ht="16" thickTop="1" x14ac:dyDescent="0.2">
      <c r="A310" s="250"/>
      <c r="B310" s="14" t="s">
        <v>0</v>
      </c>
      <c r="C310" s="2">
        <f>VLOOKUP($B310,$B$9:$O$22,2,FALSE)*(1+$C$306)</f>
        <v>105593302.14293009</v>
      </c>
      <c r="D310" s="2">
        <f>VLOOKUP($B310,$B$9:$O$22,3,FALSE)*(1+$C$306)</f>
        <v>20751826.27909096</v>
      </c>
      <c r="E310" s="2">
        <f t="shared" ref="E310:E321" si="207">Q285</f>
        <v>81333023.673422962</v>
      </c>
      <c r="F310" s="4">
        <f t="shared" ref="F310:F321" si="208">C310-E310-D310</f>
        <v>3508452.1904161684</v>
      </c>
      <c r="G310" s="1">
        <f>1-H310</f>
        <v>0.9667739135038399</v>
      </c>
      <c r="H310" s="1">
        <f t="shared" ref="H310:H322" si="209">MAX(0,F310/C310)</f>
        <v>3.322608649616015E-2</v>
      </c>
      <c r="I310" s="29">
        <f>MIN($C$5,($C$4*0.5))*$C$8</f>
        <v>1.9999999799999998E-2</v>
      </c>
      <c r="J310" s="2">
        <f t="shared" ref="J310:J321" si="210">I310*E310</f>
        <v>1626660.4572018543</v>
      </c>
      <c r="K310" s="16">
        <f t="shared" ref="K310:K321" si="211">H310/$H$323</f>
        <v>1.6485663600763992E-2</v>
      </c>
      <c r="L310" s="16">
        <f t="shared" ref="L310:L321" si="212">G310/$G$323</f>
        <v>9.6827021868086088E-2</v>
      </c>
      <c r="M310" s="2">
        <f>$J$323*IF($J$323&lt;0,L310,K310)</f>
        <v>1515639.9283614231</v>
      </c>
      <c r="N310" s="2">
        <f>J310+M310</f>
        <v>3142300.3855632776</v>
      </c>
      <c r="O310" s="16">
        <f t="shared" ref="O310:O322" si="213">N310/E310</f>
        <v>3.863498790086272E-2</v>
      </c>
      <c r="Q310" s="2">
        <f t="shared" ref="Q310:Q321" si="214">N310+E310</f>
        <v>84475324.058986247</v>
      </c>
    </row>
    <row r="311" spans="1:17" x14ac:dyDescent="0.2">
      <c r="A311" s="250"/>
      <c r="B311" s="14" t="s">
        <v>1</v>
      </c>
      <c r="C311" s="2">
        <f t="shared" ref="C311:C321" si="215">VLOOKUP($B311,$B$9:$O$22,2,FALSE)*(1+$C$306)</f>
        <v>235202672.02319264</v>
      </c>
      <c r="D311" s="2">
        <f t="shared" ref="D311:D321" si="216">VLOOKUP($B311,$B$9:$O$22,3,FALSE)*(1+$C$306)</f>
        <v>78749420.274498731</v>
      </c>
      <c r="E311" s="2">
        <f t="shared" si="207"/>
        <v>125135793.77553947</v>
      </c>
      <c r="F311" s="4">
        <f t="shared" si="208"/>
        <v>31317457.973154441</v>
      </c>
      <c r="G311" s="1">
        <f t="shared" ref="G311:G321" si="217">1-H311</f>
        <v>0.86684905531147061</v>
      </c>
      <c r="H311" s="1">
        <f t="shared" si="209"/>
        <v>0.13315094468852939</v>
      </c>
      <c r="I311" s="29">
        <f t="shared" ref="I311:I321" si="218">MIN($C$5,($C$4*0.5))*$C$8</f>
        <v>1.9999999799999998E-2</v>
      </c>
      <c r="J311" s="2">
        <f t="shared" si="210"/>
        <v>2502715.8504836303</v>
      </c>
      <c r="K311" s="16">
        <f t="shared" si="211"/>
        <v>6.6065008363615382E-2</v>
      </c>
      <c r="L311" s="16">
        <f t="shared" si="212"/>
        <v>8.6819070376830301E-2</v>
      </c>
      <c r="M311" s="2">
        <f t="shared" ref="M311:M321" si="219">$J$323*IF($J$323&lt;0,L311,K311)</f>
        <v>6073808.5507693179</v>
      </c>
      <c r="N311" s="2">
        <f>J311+M311</f>
        <v>8576524.4012529477</v>
      </c>
      <c r="O311" s="16">
        <f t="shared" si="213"/>
        <v>6.8537739223015315E-2</v>
      </c>
      <c r="Q311" s="2">
        <f t="shared" si="214"/>
        <v>133712318.17679241</v>
      </c>
    </row>
    <row r="312" spans="1:17" x14ac:dyDescent="0.2">
      <c r="A312" s="250"/>
      <c r="B312" s="14" t="s">
        <v>2</v>
      </c>
      <c r="C312" s="2">
        <f t="shared" si="215"/>
        <v>159471979.44768819</v>
      </c>
      <c r="D312" s="2">
        <f t="shared" si="216"/>
        <v>40275159.752288617</v>
      </c>
      <c r="E312" s="2">
        <f t="shared" si="207"/>
        <v>104075307.11124948</v>
      </c>
      <c r="F312" s="4">
        <f t="shared" si="208"/>
        <v>15121512.584150098</v>
      </c>
      <c r="G312" s="1">
        <f t="shared" si="217"/>
        <v>0.90517762031598514</v>
      </c>
      <c r="H312" s="1">
        <f t="shared" si="209"/>
        <v>9.4822379684014829E-2</v>
      </c>
      <c r="I312" s="29">
        <f t="shared" si="218"/>
        <v>1.9999999799999998E-2</v>
      </c>
      <c r="J312" s="2">
        <f t="shared" si="210"/>
        <v>2081506.121409928</v>
      </c>
      <c r="K312" s="16">
        <f t="shared" si="211"/>
        <v>4.704766700331206E-2</v>
      </c>
      <c r="L312" s="16">
        <f t="shared" si="212"/>
        <v>9.0657859105018043E-2</v>
      </c>
      <c r="M312" s="2">
        <f t="shared" si="219"/>
        <v>4325414.1521586915</v>
      </c>
      <c r="N312" s="2">
        <f t="shared" ref="N312:N318" si="220">J312+M312</f>
        <v>6406920.273568619</v>
      </c>
      <c r="O312" s="16">
        <f t="shared" si="213"/>
        <v>6.1560426304772313E-2</v>
      </c>
      <c r="Q312" s="2">
        <f t="shared" si="214"/>
        <v>110482227.38481809</v>
      </c>
    </row>
    <row r="313" spans="1:17" x14ac:dyDescent="0.2">
      <c r="A313" s="250"/>
      <c r="B313" s="14" t="s">
        <v>3</v>
      </c>
      <c r="C313" s="2">
        <f t="shared" si="215"/>
        <v>681224171.97292697</v>
      </c>
      <c r="D313" s="2">
        <f t="shared" si="216"/>
        <v>244418929.85693496</v>
      </c>
      <c r="E313" s="2">
        <f t="shared" si="207"/>
        <v>207574711.09240541</v>
      </c>
      <c r="F313" s="4">
        <f t="shared" si="208"/>
        <v>229230531.02358657</v>
      </c>
      <c r="G313" s="1">
        <f t="shared" si="217"/>
        <v>0.66350205930053729</v>
      </c>
      <c r="H313" s="1">
        <f t="shared" si="209"/>
        <v>0.33649794069946271</v>
      </c>
      <c r="I313" s="29">
        <f t="shared" si="218"/>
        <v>1.9999999799999998E-2</v>
      </c>
      <c r="J313" s="2">
        <f t="shared" si="210"/>
        <v>4151494.1803331655</v>
      </c>
      <c r="K313" s="16">
        <f t="shared" si="211"/>
        <v>0.16695893009735799</v>
      </c>
      <c r="L313" s="16">
        <f t="shared" si="212"/>
        <v>6.6452898147171716E-2</v>
      </c>
      <c r="M313" s="2">
        <f t="shared" si="219"/>
        <v>15349677.573205637</v>
      </c>
      <c r="N313" s="2">
        <f t="shared" si="220"/>
        <v>19501171.753538802</v>
      </c>
      <c r="O313" s="16">
        <f t="shared" si="213"/>
        <v>9.3947724416475392E-2</v>
      </c>
      <c r="Q313" s="2">
        <f t="shared" si="214"/>
        <v>227075882.84594423</v>
      </c>
    </row>
    <row r="314" spans="1:17" x14ac:dyDescent="0.2">
      <c r="A314" s="250"/>
      <c r="B314" s="14" t="s">
        <v>4</v>
      </c>
      <c r="C314" s="2">
        <f t="shared" si="215"/>
        <v>234149375.42433518</v>
      </c>
      <c r="D314" s="2">
        <f t="shared" si="216"/>
        <v>44175464.271714672</v>
      </c>
      <c r="E314" s="2">
        <f t="shared" si="207"/>
        <v>147036683.98973644</v>
      </c>
      <c r="F314" s="4">
        <f t="shared" si="208"/>
        <v>42937227.162884071</v>
      </c>
      <c r="G314" s="1">
        <f t="shared" si="217"/>
        <v>0.81662463508573768</v>
      </c>
      <c r="H314" s="1">
        <f t="shared" si="209"/>
        <v>0.18337536491426232</v>
      </c>
      <c r="I314" s="29">
        <f t="shared" si="218"/>
        <v>1.9999999799999998E-2</v>
      </c>
      <c r="J314" s="2">
        <f t="shared" si="210"/>
        <v>2940733.6503873914</v>
      </c>
      <c r="K314" s="16">
        <f t="shared" si="211"/>
        <v>9.0984671908117626E-2</v>
      </c>
      <c r="L314" s="16">
        <f t="shared" si="212"/>
        <v>8.17888549690894E-2</v>
      </c>
      <c r="M314" s="2">
        <f t="shared" si="219"/>
        <v>8364843.8396144584</v>
      </c>
      <c r="N314" s="2">
        <f t="shared" si="220"/>
        <v>11305577.49000185</v>
      </c>
      <c r="O314" s="16">
        <f t="shared" si="213"/>
        <v>7.6889502559721837E-2</v>
      </c>
      <c r="Q314" s="2">
        <f t="shared" si="214"/>
        <v>158342261.4797383</v>
      </c>
    </row>
    <row r="315" spans="1:17" x14ac:dyDescent="0.2">
      <c r="A315" s="250"/>
      <c r="B315" s="14" t="s">
        <v>5</v>
      </c>
      <c r="C315" s="2">
        <f t="shared" si="215"/>
        <v>581657158.43118691</v>
      </c>
      <c r="D315" s="2">
        <f t="shared" si="216"/>
        <v>184577355.90391499</v>
      </c>
      <c r="E315" s="2">
        <f t="shared" si="207"/>
        <v>222081426.19812131</v>
      </c>
      <c r="F315" s="4">
        <f t="shared" si="208"/>
        <v>174998376.32915062</v>
      </c>
      <c r="G315" s="1">
        <f t="shared" si="217"/>
        <v>0.69913827451011445</v>
      </c>
      <c r="H315" s="1">
        <f t="shared" si="209"/>
        <v>0.30086172548988555</v>
      </c>
      <c r="I315" s="29">
        <f t="shared" si="218"/>
        <v>1.9999999799999998E-2</v>
      </c>
      <c r="J315" s="2">
        <f t="shared" si="210"/>
        <v>4441628.4795461409</v>
      </c>
      <c r="K315" s="16">
        <f t="shared" si="211"/>
        <v>0.14927744190832878</v>
      </c>
      <c r="L315" s="16">
        <f t="shared" si="212"/>
        <v>7.0022035192758583E-2</v>
      </c>
      <c r="M315" s="2">
        <f t="shared" si="219"/>
        <v>13724097.30290935</v>
      </c>
      <c r="N315" s="2">
        <f t="shared" si="220"/>
        <v>18165725.782455489</v>
      </c>
      <c r="O315" s="16">
        <f t="shared" si="213"/>
        <v>8.1797591511546058E-2</v>
      </c>
      <c r="Q315" s="2">
        <f t="shared" si="214"/>
        <v>240247151.98057681</v>
      </c>
    </row>
    <row r="316" spans="1:17" x14ac:dyDescent="0.2">
      <c r="A316" s="250"/>
      <c r="B316" s="14" t="s">
        <v>6</v>
      </c>
      <c r="C316" s="2">
        <f t="shared" si="215"/>
        <v>421106091.03464288</v>
      </c>
      <c r="D316" s="2">
        <f t="shared" si="216"/>
        <v>183839598.55700618</v>
      </c>
      <c r="E316" s="2">
        <f t="shared" si="207"/>
        <v>200270536.83237469</v>
      </c>
      <c r="F316" s="4">
        <f t="shared" si="208"/>
        <v>36995955.645262003</v>
      </c>
      <c r="G316" s="1">
        <f t="shared" si="217"/>
        <v>0.91214575986216628</v>
      </c>
      <c r="H316" s="1">
        <f t="shared" si="209"/>
        <v>8.7854240137833772E-2</v>
      </c>
      <c r="I316" s="29">
        <f t="shared" si="218"/>
        <v>1.9999999799999998E-2</v>
      </c>
      <c r="J316" s="2">
        <f t="shared" si="210"/>
        <v>4005410.6965933861</v>
      </c>
      <c r="K316" s="16">
        <f t="shared" si="211"/>
        <v>4.3590311154473316E-2</v>
      </c>
      <c r="L316" s="16">
        <f t="shared" si="212"/>
        <v>9.1355751539633545E-2</v>
      </c>
      <c r="M316" s="2">
        <f t="shared" si="219"/>
        <v>4007555.7572554336</v>
      </c>
      <c r="N316" s="2">
        <f t="shared" si="220"/>
        <v>8012966.4538488202</v>
      </c>
      <c r="O316" s="16">
        <f t="shared" si="213"/>
        <v>4.0010710414960481E-2</v>
      </c>
      <c r="Q316" s="2">
        <f t="shared" si="214"/>
        <v>208283503.2862235</v>
      </c>
    </row>
    <row r="317" spans="1:17" x14ac:dyDescent="0.2">
      <c r="A317" s="250"/>
      <c r="B317" s="14" t="s">
        <v>7</v>
      </c>
      <c r="C317" s="2">
        <f t="shared" si="215"/>
        <v>468864724.42918849</v>
      </c>
      <c r="D317" s="2">
        <f t="shared" si="216"/>
        <v>188239953.98148906</v>
      </c>
      <c r="E317" s="2">
        <f t="shared" si="207"/>
        <v>170112235.38483024</v>
      </c>
      <c r="F317" s="4">
        <f t="shared" si="208"/>
        <v>110512535.06286919</v>
      </c>
      <c r="G317" s="1">
        <f t="shared" si="217"/>
        <v>0.76429761228590865</v>
      </c>
      <c r="H317" s="1">
        <f t="shared" si="209"/>
        <v>0.23570238771409135</v>
      </c>
      <c r="I317" s="29">
        <f t="shared" si="218"/>
        <v>1.9999999799999998E-2</v>
      </c>
      <c r="J317" s="2">
        <f t="shared" si="210"/>
        <v>3402244.6736741574</v>
      </c>
      <c r="K317" s="16">
        <f t="shared" si="211"/>
        <v>0.11694757594158491</v>
      </c>
      <c r="L317" s="16">
        <f t="shared" si="212"/>
        <v>7.6548053877789832E-2</v>
      </c>
      <c r="M317" s="2">
        <f t="shared" si="219"/>
        <v>10751791.369437598</v>
      </c>
      <c r="N317" s="2">
        <f t="shared" si="220"/>
        <v>14154036.043111755</v>
      </c>
      <c r="O317" s="16">
        <f t="shared" si="213"/>
        <v>8.3204103520786138E-2</v>
      </c>
      <c r="Q317" s="2">
        <f t="shared" si="214"/>
        <v>184266271.42794198</v>
      </c>
    </row>
    <row r="318" spans="1:17" x14ac:dyDescent="0.2">
      <c r="A318" s="250"/>
      <c r="B318" s="14" t="s">
        <v>8</v>
      </c>
      <c r="C318" s="2">
        <f t="shared" si="215"/>
        <v>1298137235.6808414</v>
      </c>
      <c r="D318" s="2">
        <f t="shared" si="216"/>
        <v>478944486.33044678</v>
      </c>
      <c r="E318" s="2">
        <f t="shared" si="207"/>
        <v>414926585.62185979</v>
      </c>
      <c r="F318" s="4">
        <f t="shared" si="208"/>
        <v>404266163.72853488</v>
      </c>
      <c r="G318" s="1">
        <f t="shared" si="217"/>
        <v>0.68857979525060986</v>
      </c>
      <c r="H318" s="1">
        <f t="shared" si="209"/>
        <v>0.31142020474939008</v>
      </c>
      <c r="I318" s="29">
        <f t="shared" si="218"/>
        <v>1.9999999799999998E-2</v>
      </c>
      <c r="J318" s="2">
        <f t="shared" si="210"/>
        <v>8298531.6294518774</v>
      </c>
      <c r="K318" s="16">
        <f t="shared" si="211"/>
        <v>0.15451620324207632</v>
      </c>
      <c r="L318" s="16">
        <f t="shared" si="212"/>
        <v>6.896455309909251E-2</v>
      </c>
      <c r="M318" s="2">
        <f t="shared" si="219"/>
        <v>14205732.500913497</v>
      </c>
      <c r="N318" s="2">
        <f t="shared" si="220"/>
        <v>22504264.130365375</v>
      </c>
      <c r="O318" s="16">
        <f t="shared" si="213"/>
        <v>5.4236737076361903E-2</v>
      </c>
      <c r="Q318" s="2">
        <f t="shared" si="214"/>
        <v>437430849.75222516</v>
      </c>
    </row>
    <row r="319" spans="1:17" x14ac:dyDescent="0.2">
      <c r="A319" s="250"/>
      <c r="B319" s="14" t="s">
        <v>9</v>
      </c>
      <c r="C319" s="2">
        <f t="shared" si="215"/>
        <v>132175756.98772177</v>
      </c>
      <c r="D319" s="2">
        <f t="shared" si="216"/>
        <v>56984878.439429872</v>
      </c>
      <c r="E319" s="2">
        <f t="shared" si="207"/>
        <v>69522875.386004105</v>
      </c>
      <c r="F319" s="4">
        <f t="shared" si="208"/>
        <v>5668003.1622877941</v>
      </c>
      <c r="G319" s="1">
        <f t="shared" si="217"/>
        <v>0.95711767958465854</v>
      </c>
      <c r="H319" s="1">
        <f t="shared" si="209"/>
        <v>4.2882320415341471E-2</v>
      </c>
      <c r="I319" s="29">
        <f t="shared" si="218"/>
        <v>1.9999999799999998E-2</v>
      </c>
      <c r="J319" s="2">
        <f t="shared" si="210"/>
        <v>1390457.4938155068</v>
      </c>
      <c r="K319" s="16">
        <f t="shared" si="211"/>
        <v>2.1276761224021765E-2</v>
      </c>
      <c r="L319" s="16">
        <f t="shared" si="212"/>
        <v>9.5859903951687933E-2</v>
      </c>
      <c r="M319" s="2">
        <f t="shared" si="219"/>
        <v>1956118.336409885</v>
      </c>
      <c r="N319" s="2">
        <f>J319+M319</f>
        <v>3346575.8302253918</v>
      </c>
      <c r="O319" s="16">
        <f t="shared" si="213"/>
        <v>4.8136326520509573E-2</v>
      </c>
      <c r="Q319" s="2">
        <f t="shared" si="214"/>
        <v>72869451.216229498</v>
      </c>
    </row>
    <row r="320" spans="1:17" x14ac:dyDescent="0.2">
      <c r="A320" s="250"/>
      <c r="B320" s="14" t="s">
        <v>10</v>
      </c>
      <c r="C320" s="2">
        <f t="shared" si="215"/>
        <v>1772797724.4864106</v>
      </c>
      <c r="D320" s="2">
        <f t="shared" si="216"/>
        <v>1175439042.1769724</v>
      </c>
      <c r="E320" s="2">
        <f t="shared" si="207"/>
        <v>418138296.1232928</v>
      </c>
      <c r="F320" s="4">
        <f t="shared" si="208"/>
        <v>179220386.18614531</v>
      </c>
      <c r="G320" s="1">
        <f t="shared" si="217"/>
        <v>0.89890533831880537</v>
      </c>
      <c r="H320" s="1">
        <f t="shared" si="209"/>
        <v>0.10109466168119459</v>
      </c>
      <c r="I320" s="29">
        <f t="shared" si="218"/>
        <v>1.9999999799999998E-2</v>
      </c>
      <c r="J320" s="2">
        <f t="shared" si="210"/>
        <v>8362765.8388381964</v>
      </c>
      <c r="K320" s="16">
        <f t="shared" si="211"/>
        <v>5.0159761803480099E-2</v>
      </c>
      <c r="L320" s="16">
        <f t="shared" si="212"/>
        <v>9.002966012527662E-2</v>
      </c>
      <c r="M320" s="2">
        <f t="shared" si="219"/>
        <v>4611530.3349347403</v>
      </c>
      <c r="N320" s="2">
        <f t="shared" ref="N320:N321" si="221">J320+M320</f>
        <v>12974296.173772937</v>
      </c>
      <c r="O320" s="16">
        <f t="shared" si="213"/>
        <v>3.1028720148482451E-2</v>
      </c>
      <c r="Q320" s="2">
        <f t="shared" si="214"/>
        <v>431112592.29706573</v>
      </c>
    </row>
    <row r="321" spans="1:17" x14ac:dyDescent="0.2">
      <c r="A321" s="250"/>
      <c r="B321" s="14" t="s">
        <v>11</v>
      </c>
      <c r="C321" s="2">
        <f t="shared" si="215"/>
        <v>278601598.08672535</v>
      </c>
      <c r="D321" s="2">
        <f t="shared" si="216"/>
        <v>97325823.964541942</v>
      </c>
      <c r="E321" s="2">
        <f t="shared" si="207"/>
        <v>138213682.56331605</v>
      </c>
      <c r="F321" s="4">
        <f t="shared" si="208"/>
        <v>43062091.558867365</v>
      </c>
      <c r="G321" s="1">
        <f t="shared" si="217"/>
        <v>0.84543487239630744</v>
      </c>
      <c r="H321" s="1">
        <f t="shared" si="209"/>
        <v>0.15456512760369254</v>
      </c>
      <c r="I321" s="29">
        <f t="shared" si="218"/>
        <v>1.9999999799999998E-2</v>
      </c>
      <c r="J321" s="2">
        <f t="shared" si="210"/>
        <v>2764273.6236235839</v>
      </c>
      <c r="K321" s="16">
        <f t="shared" si="211"/>
        <v>7.6690003752867913E-2</v>
      </c>
      <c r="L321" s="16">
        <f t="shared" si="212"/>
        <v>8.4674337747565512E-2</v>
      </c>
      <c r="M321" s="2">
        <f t="shared" si="219"/>
        <v>7050637.1238005469</v>
      </c>
      <c r="N321" s="2">
        <f t="shared" si="221"/>
        <v>9814910.7474241313</v>
      </c>
      <c r="O321" s="16">
        <f t="shared" si="213"/>
        <v>7.1012584032177098E-2</v>
      </c>
      <c r="Q321" s="2">
        <f t="shared" si="214"/>
        <v>148028593.31074017</v>
      </c>
    </row>
    <row r="322" spans="1:17" x14ac:dyDescent="0.2">
      <c r="A322" s="250"/>
      <c r="B322" s="15" t="s">
        <v>14</v>
      </c>
      <c r="C322" s="30">
        <f>SUM(C310:C321)</f>
        <v>6368981790.1477909</v>
      </c>
      <c r="D322" s="30">
        <f>SUM(D310:D321)</f>
        <v>2793721939.7883291</v>
      </c>
      <c r="E322" s="30">
        <f>SUM(E310:E321)</f>
        <v>2298421157.7521524</v>
      </c>
      <c r="F322" s="30">
        <f>SUM(F310:F321)</f>
        <v>1276838692.6073089</v>
      </c>
      <c r="G322" s="1">
        <f>1-H322</f>
        <v>0.79952232010107849</v>
      </c>
      <c r="H322" s="11">
        <f t="shared" si="209"/>
        <v>0.20047767989892151</v>
      </c>
      <c r="J322" s="30">
        <f>SUM(J310:J321)</f>
        <v>45968422.69535882</v>
      </c>
      <c r="K322" s="16"/>
      <c r="L322" s="16"/>
      <c r="M322" s="30">
        <f>SUM(M310:M321)</f>
        <v>91936846.769770578</v>
      </c>
      <c r="N322" s="30">
        <f>SUM(N310:N321)</f>
        <v>137905269.46512938</v>
      </c>
      <c r="O322" s="16">
        <f t="shared" si="213"/>
        <v>6.0000000000000102E-2</v>
      </c>
      <c r="Q322" s="3">
        <f>SUM(Q310:Q321)</f>
        <v>2436326427.2172818</v>
      </c>
    </row>
    <row r="323" spans="1:17" x14ac:dyDescent="0.2">
      <c r="C323" s="30"/>
      <c r="D323" s="30"/>
      <c r="E323" s="30"/>
      <c r="F323" s="30"/>
      <c r="G323" s="21">
        <f>SUM(G310:G321)</f>
        <v>9.9845466157261402</v>
      </c>
      <c r="H323" s="21">
        <f>SUM(H310:H321)</f>
        <v>2.0154533842738585</v>
      </c>
      <c r="I323" s="10" t="s">
        <v>30</v>
      </c>
      <c r="J323" s="17">
        <f>C305-SUM(J310:J321)</f>
        <v>91936846.769770563</v>
      </c>
    </row>
    <row r="325" spans="1:17" x14ac:dyDescent="0.2">
      <c r="B325" s="5"/>
      <c r="C325" s="8"/>
      <c r="D325" s="8"/>
      <c r="E325" s="8"/>
      <c r="F325" s="8"/>
      <c r="G325" s="8"/>
      <c r="H325" s="8"/>
    </row>
    <row r="326" spans="1:17" x14ac:dyDescent="0.2">
      <c r="A326" s="250">
        <v>13</v>
      </c>
      <c r="B326" t="s">
        <v>34</v>
      </c>
      <c r="C326" s="4">
        <f>Q322</f>
        <v>2436326427.2172818</v>
      </c>
      <c r="D326" s="4"/>
    </row>
    <row r="327" spans="1:17" x14ac:dyDescent="0.2">
      <c r="A327" s="250"/>
      <c r="B327" t="s">
        <v>27</v>
      </c>
      <c r="C327" s="6">
        <f>C326*(1+C328)</f>
        <v>2582506012.8503189</v>
      </c>
      <c r="D327" s="6"/>
    </row>
    <row r="328" spans="1:17" x14ac:dyDescent="0.2">
      <c r="A328" s="250"/>
      <c r="B328" t="s">
        <v>28</v>
      </c>
      <c r="C328" s="20">
        <f>C4</f>
        <v>0.06</v>
      </c>
      <c r="D328" s="20"/>
    </row>
    <row r="329" spans="1:17" x14ac:dyDescent="0.2">
      <c r="A329" s="250"/>
      <c r="B329" t="s">
        <v>16</v>
      </c>
      <c r="C329" s="20">
        <f>C5</f>
        <v>0.03</v>
      </c>
      <c r="D329" s="20"/>
    </row>
    <row r="330" spans="1:17" x14ac:dyDescent="0.2">
      <c r="A330" s="250"/>
      <c r="B330" t="s">
        <v>31</v>
      </c>
      <c r="C330" s="6">
        <f>C327-C326</f>
        <v>146179585.63303709</v>
      </c>
      <c r="D330" s="6"/>
    </row>
    <row r="331" spans="1:17" x14ac:dyDescent="0.2">
      <c r="A331" s="250"/>
      <c r="B331" t="s">
        <v>48</v>
      </c>
      <c r="C331" s="20">
        <f>((1+$C$5)^A326)-1</f>
        <v>0.46853371345156392</v>
      </c>
      <c r="D331" s="20"/>
    </row>
    <row r="332" spans="1:17" ht="21" x14ac:dyDescent="0.25">
      <c r="A332" s="250"/>
      <c r="F332" s="6"/>
      <c r="G332" s="6"/>
      <c r="I332" s="251" t="s">
        <v>18</v>
      </c>
      <c r="J332" s="251"/>
      <c r="K332" s="251"/>
      <c r="L332" s="251"/>
      <c r="M332" s="251"/>
      <c r="N332" s="251"/>
      <c r="O332" s="251"/>
    </row>
    <row r="333" spans="1:17" x14ac:dyDescent="0.2">
      <c r="A333" s="250" t="s">
        <v>51</v>
      </c>
      <c r="I333" s="255" t="s">
        <v>19</v>
      </c>
      <c r="J333" s="255"/>
      <c r="K333" s="255"/>
      <c r="L333" s="255"/>
      <c r="M333" s="255"/>
      <c r="N333" s="255"/>
      <c r="O333" s="255"/>
    </row>
    <row r="334" spans="1:17" ht="49" thickBot="1" x14ac:dyDescent="0.25">
      <c r="A334" s="250"/>
      <c r="B334" s="22" t="s">
        <v>12</v>
      </c>
      <c r="C334" s="13" t="s">
        <v>15</v>
      </c>
      <c r="D334" s="13" t="s">
        <v>63</v>
      </c>
      <c r="E334" s="13" t="s">
        <v>29</v>
      </c>
      <c r="F334" s="13" t="s">
        <v>13</v>
      </c>
      <c r="G334" s="13" t="s">
        <v>50</v>
      </c>
      <c r="H334" s="13" t="s">
        <v>17</v>
      </c>
      <c r="I334" s="28" t="s">
        <v>20</v>
      </c>
      <c r="J334" s="28" t="s">
        <v>21</v>
      </c>
      <c r="K334" s="28" t="s">
        <v>22</v>
      </c>
      <c r="L334" s="28" t="s">
        <v>49</v>
      </c>
      <c r="M334" s="28" t="s">
        <v>23</v>
      </c>
      <c r="N334" s="28" t="s">
        <v>24</v>
      </c>
      <c r="O334" s="28" t="s">
        <v>25</v>
      </c>
      <c r="Q334" s="28" t="s">
        <v>32</v>
      </c>
    </row>
    <row r="335" spans="1:17" ht="16" thickTop="1" x14ac:dyDescent="0.2">
      <c r="A335" s="250"/>
      <c r="B335" s="14" t="s">
        <v>0</v>
      </c>
      <c r="C335" s="2">
        <f>VLOOKUP($B335,$B$9:$O$22,2,FALSE)*(1+$C$331)</f>
        <v>108761101.20721799</v>
      </c>
      <c r="D335" s="2">
        <f>VLOOKUP($B335,$B$9:$O$22,3,FALSE)*(1+$C$331)</f>
        <v>21374381.067463689</v>
      </c>
      <c r="E335" s="2">
        <f>Q310</f>
        <v>84475324.058986247</v>
      </c>
      <c r="F335" s="4">
        <f>C335-E335-D335</f>
        <v>2911396.0807680562</v>
      </c>
      <c r="G335" s="1">
        <f>1-H335</f>
        <v>0.97323127433933299</v>
      </c>
      <c r="H335" s="1">
        <f>MAX(0,F335/C335)</f>
        <v>2.6768725660666993E-2</v>
      </c>
      <c r="I335" s="29">
        <f>MIN($C$5,($C$4*0.5))*$C$8</f>
        <v>1.9999999799999998E-2</v>
      </c>
      <c r="J335" s="2">
        <f>I335*E335</f>
        <v>1689506.4642846598</v>
      </c>
      <c r="K335" s="16">
        <f>H335/$H$348</f>
        <v>1.4530440993768051E-2</v>
      </c>
      <c r="L335" s="16">
        <f>G335/$G$348</f>
        <v>9.5811711362786114E-2</v>
      </c>
      <c r="M335" s="2">
        <f>$J$348*IF($J$348&lt;0,L335,K335)</f>
        <v>1416035.9027697197</v>
      </c>
      <c r="N335" s="2">
        <f>J335+M335</f>
        <v>3105542.3670543795</v>
      </c>
      <c r="O335" s="16">
        <f t="shared" ref="O335:O347" si="222">N335/E335</f>
        <v>3.6762716232800537E-2</v>
      </c>
      <c r="Q335" s="2">
        <f t="shared" ref="Q335:Q346" si="223">N335+E335</f>
        <v>87580866.42604062</v>
      </c>
    </row>
    <row r="336" spans="1:17" x14ac:dyDescent="0.2">
      <c r="A336" s="250"/>
      <c r="B336" s="14" t="s">
        <v>1</v>
      </c>
      <c r="C336" s="2">
        <f t="shared" ref="C336:C346" si="224">VLOOKUP($B336,$B$9:$O$22,2,FALSE)*(1+$C$331)</f>
        <v>242258752.18388841</v>
      </c>
      <c r="D336" s="2">
        <f t="shared" ref="D336:D346" si="225">VLOOKUP($B336,$B$9:$O$22,3,FALSE)*(1+$C$331)</f>
        <v>81111902.882733688</v>
      </c>
      <c r="E336" s="2">
        <f t="shared" ref="E336:E346" si="226">Q311</f>
        <v>133712318.17679241</v>
      </c>
      <c r="F336" s="4">
        <f t="shared" ref="F336:F346" si="227">C336-E336-D336</f>
        <v>27434531.124362305</v>
      </c>
      <c r="G336" s="1">
        <f t="shared" ref="G336:G346" si="228">1-H336</f>
        <v>0.88675525289778634</v>
      </c>
      <c r="H336" s="1">
        <f t="shared" ref="H336:H347" si="229">MAX(0,F336/C336)</f>
        <v>0.1132447471022137</v>
      </c>
      <c r="I336" s="29">
        <f t="shared" ref="I336:I346" si="230">MIN($C$5,($C$4*0.5))*$C$8</f>
        <v>1.9999999799999998E-2</v>
      </c>
      <c r="J336" s="2">
        <f t="shared" ref="J336:J346" si="231">I336*E336</f>
        <v>2674246.3367933845</v>
      </c>
      <c r="K336" s="16">
        <f t="shared" ref="K336:K346" si="232">H336/$H$348</f>
        <v>6.1470842373372102E-2</v>
      </c>
      <c r="L336" s="16">
        <f t="shared" ref="L336:L346" si="233">G336/$G$348</f>
        <v>8.7298405404976617E-2</v>
      </c>
      <c r="M336" s="2">
        <f t="shared" ref="M336:M346" si="234">$J$323*IF($J$323&lt;0,L336,K336)</f>
        <v>5651435.4160894305</v>
      </c>
      <c r="N336" s="2">
        <f>J336+M336</f>
        <v>8325681.752882815</v>
      </c>
      <c r="O336" s="16">
        <f t="shared" si="222"/>
        <v>6.2265630170847269E-2</v>
      </c>
      <c r="Q336" s="2">
        <f t="shared" si="223"/>
        <v>142037999.92967522</v>
      </c>
    </row>
    <row r="337" spans="1:17" x14ac:dyDescent="0.2">
      <c r="A337" s="250"/>
      <c r="B337" s="14" t="s">
        <v>2</v>
      </c>
      <c r="C337" s="2">
        <f t="shared" si="224"/>
        <v>164256138.83111882</v>
      </c>
      <c r="D337" s="2">
        <f t="shared" si="225"/>
        <v>41483414.544857271</v>
      </c>
      <c r="E337" s="2">
        <f t="shared" si="226"/>
        <v>110482227.38481809</v>
      </c>
      <c r="F337" s="4">
        <f t="shared" si="227"/>
        <v>12290496.901443459</v>
      </c>
      <c r="G337" s="1">
        <f t="shared" si="228"/>
        <v>0.92517480936234575</v>
      </c>
      <c r="H337" s="1">
        <f t="shared" si="229"/>
        <v>7.4825190637654193E-2</v>
      </c>
      <c r="I337" s="29">
        <f t="shared" si="230"/>
        <v>1.9999999799999998E-2</v>
      </c>
      <c r="J337" s="2">
        <f t="shared" si="231"/>
        <v>2209644.525599916</v>
      </c>
      <c r="K337" s="16">
        <f t="shared" si="232"/>
        <v>4.0616166461948384E-2</v>
      </c>
      <c r="L337" s="16">
        <f t="shared" si="233"/>
        <v>9.1080695957823338E-2</v>
      </c>
      <c r="M337" s="2">
        <f t="shared" si="234"/>
        <v>3734122.2723876429</v>
      </c>
      <c r="N337" s="2">
        <f t="shared" ref="N337:N343" si="235">J337+M337</f>
        <v>5943766.7979875589</v>
      </c>
      <c r="O337" s="16">
        <f t="shared" si="222"/>
        <v>5.3798397612721566E-2</v>
      </c>
      <c r="Q337" s="2">
        <f t="shared" si="223"/>
        <v>116425994.18280566</v>
      </c>
    </row>
    <row r="338" spans="1:17" x14ac:dyDescent="0.2">
      <c r="A338" s="250"/>
      <c r="B338" s="14" t="s">
        <v>3</v>
      </c>
      <c r="C338" s="2">
        <f t="shared" si="224"/>
        <v>701660897.13211465</v>
      </c>
      <c r="D338" s="2">
        <f t="shared" si="225"/>
        <v>251751497.75264299</v>
      </c>
      <c r="E338" s="2">
        <f t="shared" si="226"/>
        <v>227075882.84594423</v>
      </c>
      <c r="F338" s="4">
        <f t="shared" si="227"/>
        <v>222833516.53352743</v>
      </c>
      <c r="G338" s="1">
        <f t="shared" si="228"/>
        <v>0.68241993041893789</v>
      </c>
      <c r="H338" s="1">
        <f t="shared" si="229"/>
        <v>0.31758006958106211</v>
      </c>
      <c r="I338" s="29">
        <f t="shared" si="230"/>
        <v>1.9999999799999998E-2</v>
      </c>
      <c r="J338" s="2">
        <f t="shared" si="231"/>
        <v>4541517.6115037072</v>
      </c>
      <c r="K338" s="16">
        <f t="shared" si="232"/>
        <v>0.17238693094101493</v>
      </c>
      <c r="L338" s="16">
        <f t="shared" si="233"/>
        <v>6.7182203372879612E-2</v>
      </c>
      <c r="M338" s="2">
        <f t="shared" si="234"/>
        <v>15848710.855035109</v>
      </c>
      <c r="N338" s="2">
        <f t="shared" si="235"/>
        <v>20390228.466538817</v>
      </c>
      <c r="O338" s="16">
        <f t="shared" si="222"/>
        <v>8.9794777899739442E-2</v>
      </c>
      <c r="Q338" s="2">
        <f t="shared" si="223"/>
        <v>247466111.31248304</v>
      </c>
    </row>
    <row r="339" spans="1:17" x14ac:dyDescent="0.2">
      <c r="A339" s="250"/>
      <c r="B339" s="14" t="s">
        <v>4</v>
      </c>
      <c r="C339" s="2">
        <f t="shared" si="224"/>
        <v>241173856.68706521</v>
      </c>
      <c r="D339" s="2">
        <f t="shared" si="225"/>
        <v>45500728.199866109</v>
      </c>
      <c r="E339" s="2">
        <f t="shared" si="226"/>
        <v>158342261.4797383</v>
      </c>
      <c r="F339" s="4">
        <f t="shared" si="227"/>
        <v>37330867.00746081</v>
      </c>
      <c r="G339" s="1">
        <f t="shared" si="228"/>
        <v>0.8452118006476157</v>
      </c>
      <c r="H339" s="1">
        <f t="shared" si="229"/>
        <v>0.1547881993523843</v>
      </c>
      <c r="I339" s="29">
        <f t="shared" si="230"/>
        <v>1.9999999799999998E-2</v>
      </c>
      <c r="J339" s="2">
        <f t="shared" si="231"/>
        <v>3166845.1979263132</v>
      </c>
      <c r="K339" s="16">
        <f t="shared" si="232"/>
        <v>8.4021212878513413E-2</v>
      </c>
      <c r="L339" s="16">
        <f t="shared" si="233"/>
        <v>8.3208576644891757E-2</v>
      </c>
      <c r="M339" s="2">
        <f t="shared" si="234"/>
        <v>7724645.373822161</v>
      </c>
      <c r="N339" s="2">
        <f t="shared" si="235"/>
        <v>10891490.571748475</v>
      </c>
      <c r="O339" s="16">
        <f t="shared" si="222"/>
        <v>6.8784482866200355E-2</v>
      </c>
      <c r="Q339" s="2">
        <f t="shared" si="223"/>
        <v>169233752.05148676</v>
      </c>
    </row>
    <row r="340" spans="1:17" x14ac:dyDescent="0.2">
      <c r="A340" s="250"/>
      <c r="B340" s="14" t="s">
        <v>5</v>
      </c>
      <c r="C340" s="2">
        <f t="shared" si="224"/>
        <v>599106873.18412244</v>
      </c>
      <c r="D340" s="2">
        <f t="shared" si="225"/>
        <v>190114676.58103243</v>
      </c>
      <c r="E340" s="2">
        <f t="shared" si="226"/>
        <v>240247151.98057681</v>
      </c>
      <c r="F340" s="4">
        <f t="shared" si="227"/>
        <v>168745044.6225132</v>
      </c>
      <c r="G340" s="1">
        <f t="shared" si="228"/>
        <v>0.71833899396668566</v>
      </c>
      <c r="H340" s="1">
        <f t="shared" si="229"/>
        <v>0.28166100603331434</v>
      </c>
      <c r="I340" s="29">
        <f t="shared" si="230"/>
        <v>1.9999999799999998E-2</v>
      </c>
      <c r="J340" s="2">
        <f t="shared" si="231"/>
        <v>4804942.9915621057</v>
      </c>
      <c r="K340" s="16">
        <f t="shared" si="232"/>
        <v>0.15288955777323487</v>
      </c>
      <c r="L340" s="16">
        <f t="shared" si="233"/>
        <v>7.0718327868462202E-2</v>
      </c>
      <c r="M340" s="2">
        <f t="shared" si="234"/>
        <v>14056183.845695879</v>
      </c>
      <c r="N340" s="2">
        <f t="shared" si="235"/>
        <v>18861126.837257985</v>
      </c>
      <c r="O340" s="16">
        <f t="shared" si="222"/>
        <v>7.85071817991118E-2</v>
      </c>
      <c r="Q340" s="2">
        <f t="shared" si="223"/>
        <v>259108278.81783479</v>
      </c>
    </row>
    <row r="341" spans="1:17" x14ac:dyDescent="0.2">
      <c r="A341" s="250"/>
      <c r="B341" s="14" t="s">
        <v>6</v>
      </c>
      <c r="C341" s="2">
        <f t="shared" si="224"/>
        <v>433739273.76568216</v>
      </c>
      <c r="D341" s="2">
        <f t="shared" si="225"/>
        <v>189354786.51371634</v>
      </c>
      <c r="E341" s="2">
        <f t="shared" si="226"/>
        <v>208283503.2862235</v>
      </c>
      <c r="F341" s="4">
        <f t="shared" si="227"/>
        <v>36100983.96574232</v>
      </c>
      <c r="G341" s="1">
        <f t="shared" si="228"/>
        <v>0.9167680075352248</v>
      </c>
      <c r="H341" s="1">
        <f t="shared" si="229"/>
        <v>8.3231992464775181E-2</v>
      </c>
      <c r="I341" s="29">
        <f t="shared" si="230"/>
        <v>1.9999999799999998E-2</v>
      </c>
      <c r="J341" s="2">
        <f t="shared" si="231"/>
        <v>4165670.0240677688</v>
      </c>
      <c r="K341" s="16">
        <f t="shared" si="232"/>
        <v>4.5179496799140059E-2</v>
      </c>
      <c r="L341" s="16">
        <f t="shared" si="233"/>
        <v>9.0253071433846713E-2</v>
      </c>
      <c r="M341" s="2">
        <f t="shared" si="234"/>
        <v>4153660.4743578793</v>
      </c>
      <c r="N341" s="2">
        <f t="shared" si="235"/>
        <v>8319330.4984256476</v>
      </c>
      <c r="O341" s="16">
        <f t="shared" si="222"/>
        <v>3.9942339970118569E-2</v>
      </c>
      <c r="Q341" s="2">
        <f t="shared" si="223"/>
        <v>216602833.78464913</v>
      </c>
    </row>
    <row r="342" spans="1:17" x14ac:dyDescent="0.2">
      <c r="A342" s="250"/>
      <c r="B342" s="14" t="s">
        <v>7</v>
      </c>
      <c r="C342" s="2">
        <f t="shared" si="224"/>
        <v>482930666.16206414</v>
      </c>
      <c r="D342" s="2">
        <f t="shared" si="225"/>
        <v>193887152.60093373</v>
      </c>
      <c r="E342" s="2">
        <f t="shared" si="226"/>
        <v>184266271.42794198</v>
      </c>
      <c r="F342" s="4">
        <f t="shared" si="227"/>
        <v>104777242.13318843</v>
      </c>
      <c r="G342" s="1">
        <f t="shared" si="228"/>
        <v>0.78303874764079118</v>
      </c>
      <c r="H342" s="1">
        <f t="shared" si="229"/>
        <v>0.21696125235920882</v>
      </c>
      <c r="I342" s="29">
        <f t="shared" si="230"/>
        <v>1.9999999799999998E-2</v>
      </c>
      <c r="J342" s="2">
        <f t="shared" si="231"/>
        <v>3685325.3917055847</v>
      </c>
      <c r="K342" s="16">
        <f t="shared" si="232"/>
        <v>0.11776962098616955</v>
      </c>
      <c r="L342" s="16">
        <f t="shared" si="233"/>
        <v>7.7087825322677161E-2</v>
      </c>
      <c r="M342" s="2">
        <f t="shared" si="234"/>
        <v>10827367.598739427</v>
      </c>
      <c r="N342" s="2">
        <f t="shared" si="235"/>
        <v>14512692.99044501</v>
      </c>
      <c r="O342" s="16">
        <f t="shared" si="222"/>
        <v>7.8759356652637613E-2</v>
      </c>
      <c r="Q342" s="2">
        <f t="shared" si="223"/>
        <v>198778964.418387</v>
      </c>
    </row>
    <row r="343" spans="1:17" x14ac:dyDescent="0.2">
      <c r="A343" s="250"/>
      <c r="B343" s="14" t="s">
        <v>8</v>
      </c>
      <c r="C343" s="2">
        <f t="shared" si="224"/>
        <v>1337081352.7512665</v>
      </c>
      <c r="D343" s="2">
        <f t="shared" si="225"/>
        <v>493312820.92036015</v>
      </c>
      <c r="E343" s="2">
        <f t="shared" si="226"/>
        <v>437430849.75222516</v>
      </c>
      <c r="F343" s="4">
        <f t="shared" si="227"/>
        <v>406337682.07868117</v>
      </c>
      <c r="G343" s="1">
        <f t="shared" si="228"/>
        <v>0.69610100294752142</v>
      </c>
      <c r="H343" s="1">
        <f t="shared" si="229"/>
        <v>0.30389899705247858</v>
      </c>
      <c r="I343" s="29">
        <f t="shared" si="230"/>
        <v>1.9999999799999998E-2</v>
      </c>
      <c r="J343" s="2">
        <f t="shared" si="231"/>
        <v>8748616.9075583331</v>
      </c>
      <c r="K343" s="16">
        <f t="shared" si="232"/>
        <v>0.16496065224444842</v>
      </c>
      <c r="L343" s="16">
        <f t="shared" si="233"/>
        <v>6.8529064090165764E-2</v>
      </c>
      <c r="M343" s="2">
        <f t="shared" si="234"/>
        <v>15165962.208439263</v>
      </c>
      <c r="N343" s="2">
        <f t="shared" si="235"/>
        <v>23914579.115997598</v>
      </c>
      <c r="O343" s="16">
        <f t="shared" si="222"/>
        <v>5.4670536221996184E-2</v>
      </c>
      <c r="Q343" s="2">
        <f t="shared" si="223"/>
        <v>461345428.86822277</v>
      </c>
    </row>
    <row r="344" spans="1:17" x14ac:dyDescent="0.2">
      <c r="A344" s="250"/>
      <c r="B344" s="14" t="s">
        <v>9</v>
      </c>
      <c r="C344" s="2">
        <f t="shared" si="224"/>
        <v>136141029.69735342</v>
      </c>
      <c r="D344" s="2">
        <f t="shared" si="225"/>
        <v>58694424.792612761</v>
      </c>
      <c r="E344" s="2">
        <f t="shared" si="226"/>
        <v>72869451.216229498</v>
      </c>
      <c r="F344" s="4">
        <f t="shared" si="227"/>
        <v>4577153.688511163</v>
      </c>
      <c r="G344" s="1">
        <f t="shared" si="228"/>
        <v>0.96637932224630341</v>
      </c>
      <c r="H344" s="1">
        <f t="shared" si="229"/>
        <v>3.3620677753696634E-2</v>
      </c>
      <c r="I344" s="29">
        <f t="shared" si="230"/>
        <v>1.9999999799999998E-2</v>
      </c>
      <c r="J344" s="2">
        <f t="shared" si="231"/>
        <v>1457389.0097506996</v>
      </c>
      <c r="K344" s="16">
        <f t="shared" si="232"/>
        <v>1.8249777014540433E-2</v>
      </c>
      <c r="L344" s="16">
        <f t="shared" si="233"/>
        <v>9.5137157149909377E-2</v>
      </c>
      <c r="M344" s="2">
        <f t="shared" si="234"/>
        <v>1677826.9529682847</v>
      </c>
      <c r="N344" s="2">
        <f>J344+M344</f>
        <v>3135215.9627189841</v>
      </c>
      <c r="O344" s="16">
        <f t="shared" si="222"/>
        <v>4.302510737202736E-2</v>
      </c>
      <c r="Q344" s="2">
        <f t="shared" si="223"/>
        <v>76004667.178948477</v>
      </c>
    </row>
    <row r="345" spans="1:17" x14ac:dyDescent="0.2">
      <c r="A345" s="250"/>
      <c r="B345" s="14" t="s">
        <v>10</v>
      </c>
      <c r="C345" s="2">
        <f t="shared" si="224"/>
        <v>1825981656.2210028</v>
      </c>
      <c r="D345" s="2">
        <f t="shared" si="225"/>
        <v>1210702213.4422815</v>
      </c>
      <c r="E345" s="2">
        <f t="shared" si="226"/>
        <v>431112592.29706573</v>
      </c>
      <c r="F345" s="4">
        <f t="shared" si="227"/>
        <v>184166850.4816556</v>
      </c>
      <c r="G345" s="1">
        <f t="shared" si="228"/>
        <v>0.89914090875217123</v>
      </c>
      <c r="H345" s="1">
        <f t="shared" si="229"/>
        <v>0.10085909124782876</v>
      </c>
      <c r="I345" s="29">
        <f t="shared" si="230"/>
        <v>1.9999999799999998E-2</v>
      </c>
      <c r="J345" s="2">
        <f t="shared" si="231"/>
        <v>8622251.7597187944</v>
      </c>
      <c r="K345" s="16">
        <f t="shared" si="232"/>
        <v>5.4747734077421416E-2</v>
      </c>
      <c r="L345" s="16">
        <f t="shared" si="233"/>
        <v>8.8517736220835058E-2</v>
      </c>
      <c r="M345" s="2">
        <f t="shared" si="234"/>
        <v>5033334.0388680389</v>
      </c>
      <c r="N345" s="2">
        <f t="shared" ref="N345:N346" si="236">J345+M345</f>
        <v>13655585.798586834</v>
      </c>
      <c r="O345" s="16">
        <f t="shared" si="222"/>
        <v>3.1675219055483331E-2</v>
      </c>
      <c r="Q345" s="2">
        <f t="shared" si="223"/>
        <v>444768178.09565258</v>
      </c>
    </row>
    <row r="346" spans="1:17" x14ac:dyDescent="0.2">
      <c r="A346" s="250"/>
      <c r="B346" s="14" t="s">
        <v>11</v>
      </c>
      <c r="C346" s="2">
        <f t="shared" si="224"/>
        <v>286959646.02932709</v>
      </c>
      <c r="D346" s="2">
        <f t="shared" si="225"/>
        <v>100245598.68347819</v>
      </c>
      <c r="E346" s="2">
        <f t="shared" si="226"/>
        <v>148028593.31074017</v>
      </c>
      <c r="F346" s="4">
        <f t="shared" si="227"/>
        <v>38685454.03510873</v>
      </c>
      <c r="G346" s="1">
        <f t="shared" si="228"/>
        <v>0.86518852190403417</v>
      </c>
      <c r="H346" s="1">
        <f t="shared" si="229"/>
        <v>0.1348114780959658</v>
      </c>
      <c r="I346" s="29">
        <f t="shared" si="230"/>
        <v>1.9999999799999998E-2</v>
      </c>
      <c r="J346" s="2">
        <f t="shared" si="231"/>
        <v>2960571.8366090846</v>
      </c>
      <c r="K346" s="16">
        <f t="shared" si="232"/>
        <v>7.3177567456428408E-2</v>
      </c>
      <c r="L346" s="16">
        <f t="shared" si="233"/>
        <v>8.5175225170746119E-2</v>
      </c>
      <c r="M346" s="2">
        <f t="shared" si="234"/>
        <v>6727714.8062262079</v>
      </c>
      <c r="N346" s="2">
        <f t="shared" si="236"/>
        <v>9688286.642835293</v>
      </c>
      <c r="O346" s="16">
        <f t="shared" si="222"/>
        <v>6.5448751664468882E-2</v>
      </c>
      <c r="Q346" s="2">
        <f t="shared" si="223"/>
        <v>157716879.95357546</v>
      </c>
    </row>
    <row r="347" spans="1:17" x14ac:dyDescent="0.2">
      <c r="A347" s="250"/>
      <c r="B347" s="15" t="s">
        <v>14</v>
      </c>
      <c r="C347" s="30">
        <f>SUM(C335:C346)</f>
        <v>6560051243.8522234</v>
      </c>
      <c r="D347" s="30">
        <f>SUM(D335:D346)</f>
        <v>2877533597.9819789</v>
      </c>
      <c r="E347" s="30">
        <f>SUM(E335:E346)</f>
        <v>2436326427.2172818</v>
      </c>
      <c r="F347" s="30">
        <f>SUM(F335:F346)</f>
        <v>1246191218.6529629</v>
      </c>
      <c r="G347" s="1">
        <f>1-H347</f>
        <v>0.81003331036158666</v>
      </c>
      <c r="H347" s="11">
        <f t="shared" si="229"/>
        <v>0.18996668963841337</v>
      </c>
      <c r="J347" s="30">
        <f>SUM(J335:J346)</f>
        <v>48726528.057080351</v>
      </c>
      <c r="K347" s="16"/>
      <c r="L347" s="16"/>
      <c r="M347" s="30">
        <f>SUM(M335:M346)</f>
        <v>92016999.745399043</v>
      </c>
      <c r="N347" s="30">
        <f>SUM(N335:N346)</f>
        <v>140743527.80247939</v>
      </c>
      <c r="O347" s="16">
        <f t="shared" si="222"/>
        <v>5.7768748157131608E-2</v>
      </c>
      <c r="Q347" s="3">
        <f>SUM(Q335:Q346)</f>
        <v>2577069955.0197616</v>
      </c>
    </row>
    <row r="348" spans="1:17" x14ac:dyDescent="0.2">
      <c r="C348" s="30"/>
      <c r="D348" s="30"/>
      <c r="E348" s="30"/>
      <c r="F348" s="30"/>
      <c r="G348" s="21">
        <f>SUM(G335:G346)</f>
        <v>10.157748572658752</v>
      </c>
      <c r="H348" s="21">
        <f>SUM(H335:H346)</f>
        <v>1.8422514273412494</v>
      </c>
      <c r="I348" s="10" t="s">
        <v>30</v>
      </c>
      <c r="J348" s="17">
        <f>C330-SUM(J335:J346)</f>
        <v>97453057.575956732</v>
      </c>
    </row>
    <row r="351" spans="1:17" x14ac:dyDescent="0.2">
      <c r="A351" s="250">
        <v>14</v>
      </c>
      <c r="B351" t="s">
        <v>34</v>
      </c>
      <c r="C351" s="4">
        <f>Q347</f>
        <v>2577069955.0197616</v>
      </c>
      <c r="D351" s="4"/>
    </row>
    <row r="352" spans="1:17" x14ac:dyDescent="0.2">
      <c r="A352" s="250"/>
      <c r="B352" t="s">
        <v>27</v>
      </c>
      <c r="C352" s="6">
        <f>C351*(1+C353)</f>
        <v>2731694152.3209472</v>
      </c>
      <c r="D352" s="6"/>
    </row>
    <row r="353" spans="1:17" x14ac:dyDescent="0.2">
      <c r="A353" s="250"/>
      <c r="B353" t="s">
        <v>28</v>
      </c>
      <c r="C353" s="20">
        <f>C4</f>
        <v>0.06</v>
      </c>
      <c r="D353" s="20"/>
    </row>
    <row r="354" spans="1:17" x14ac:dyDescent="0.2">
      <c r="A354" s="250"/>
      <c r="B354" t="s">
        <v>16</v>
      </c>
      <c r="C354" s="20">
        <f>C5</f>
        <v>0.03</v>
      </c>
      <c r="D354" s="20"/>
    </row>
    <row r="355" spans="1:17" x14ac:dyDescent="0.2">
      <c r="A355" s="250"/>
      <c r="B355" t="s">
        <v>31</v>
      </c>
      <c r="C355" s="6">
        <f>C352-C351</f>
        <v>154624197.30118561</v>
      </c>
      <c r="D355" s="6"/>
    </row>
    <row r="356" spans="1:17" x14ac:dyDescent="0.2">
      <c r="A356" s="250"/>
      <c r="B356" t="s">
        <v>48</v>
      </c>
      <c r="C356" s="20">
        <f>((1+$C$5)^A351)-1</f>
        <v>0.51258972485511101</v>
      </c>
      <c r="D356" s="20"/>
    </row>
    <row r="357" spans="1:17" ht="21" x14ac:dyDescent="0.25">
      <c r="A357" s="250"/>
      <c r="F357" s="6"/>
      <c r="G357" s="6"/>
      <c r="I357" s="251" t="s">
        <v>18</v>
      </c>
      <c r="J357" s="251"/>
      <c r="K357" s="251"/>
      <c r="L357" s="251"/>
      <c r="M357" s="251"/>
      <c r="N357" s="251"/>
      <c r="O357" s="251"/>
    </row>
    <row r="358" spans="1:17" x14ac:dyDescent="0.2">
      <c r="A358" s="250" t="s">
        <v>51</v>
      </c>
      <c r="I358" s="255" t="s">
        <v>19</v>
      </c>
      <c r="J358" s="255"/>
      <c r="K358" s="255"/>
      <c r="L358" s="255"/>
      <c r="M358" s="255"/>
      <c r="N358" s="255"/>
      <c r="O358" s="255"/>
    </row>
    <row r="359" spans="1:17" ht="49" thickBot="1" x14ac:dyDescent="0.25">
      <c r="A359" s="250"/>
      <c r="B359" s="22" t="s">
        <v>12</v>
      </c>
      <c r="C359" s="13" t="s">
        <v>15</v>
      </c>
      <c r="D359" s="13" t="s">
        <v>63</v>
      </c>
      <c r="E359" s="13" t="s">
        <v>29</v>
      </c>
      <c r="F359" s="13" t="s">
        <v>13</v>
      </c>
      <c r="G359" s="13" t="s">
        <v>50</v>
      </c>
      <c r="H359" s="13" t="s">
        <v>17</v>
      </c>
      <c r="I359" s="28" t="s">
        <v>20</v>
      </c>
      <c r="J359" s="28" t="s">
        <v>21</v>
      </c>
      <c r="K359" s="28" t="s">
        <v>22</v>
      </c>
      <c r="L359" s="28" t="s">
        <v>49</v>
      </c>
      <c r="M359" s="28" t="s">
        <v>23</v>
      </c>
      <c r="N359" s="28" t="s">
        <v>24</v>
      </c>
      <c r="O359" s="28" t="s">
        <v>25</v>
      </c>
      <c r="Q359" s="28" t="s">
        <v>32</v>
      </c>
    </row>
    <row r="360" spans="1:17" ht="16" thickTop="1" x14ac:dyDescent="0.2">
      <c r="A360" s="250"/>
      <c r="B360" s="14" t="s">
        <v>0</v>
      </c>
      <c r="C360" s="2">
        <f>VLOOKUP($B360,$B$9:$O$22,2,FALSE)*(1+$C$356)</f>
        <v>112023934.24343455</v>
      </c>
      <c r="D360" s="2">
        <f>VLOOKUP($B360,$B$9:$O$22,3,FALSE)*(1+$C$356)</f>
        <v>22015612.499487601</v>
      </c>
      <c r="E360" s="2">
        <f>Q335</f>
        <v>87580866.42604062</v>
      </c>
      <c r="F360" s="4">
        <f>C360-E360-D360</f>
        <v>2427455.3179063275</v>
      </c>
      <c r="G360" s="1">
        <f>1-H360</f>
        <v>0.97833092245598763</v>
      </c>
      <c r="H360" s="1">
        <f>MAX(0,F360/C360)</f>
        <v>2.1669077544012386E-2</v>
      </c>
      <c r="I360" s="29">
        <f>MIN($C$5,($C$4*0.5))*$C$8</f>
        <v>1.9999999799999998E-2</v>
      </c>
      <c r="J360" s="2">
        <f>I360*E360</f>
        <v>1751617.3110046389</v>
      </c>
      <c r="K360" s="16">
        <f>H360/$H$373</f>
        <v>1.2848659593281266E-2</v>
      </c>
      <c r="L360" s="16">
        <f>G360/$G$373</f>
        <v>9.4859120851798845E-2</v>
      </c>
      <c r="M360" s="2">
        <f>$J$373*IF($J$373&lt;0,L360,K360)</f>
        <v>1324475.7906272411</v>
      </c>
      <c r="N360" s="2">
        <f>J360+M360</f>
        <v>3076093.1016318798</v>
      </c>
      <c r="O360" s="16">
        <f t="shared" ref="O360:O372" si="237">N360/E360</f>
        <v>3.5122889589469256E-2</v>
      </c>
      <c r="Q360" s="2">
        <f t="shared" ref="Q360:Q371" si="238">N360+E360</f>
        <v>90656959.527672499</v>
      </c>
    </row>
    <row r="361" spans="1:17" x14ac:dyDescent="0.2">
      <c r="A361" s="250"/>
      <c r="B361" s="14" t="s">
        <v>1</v>
      </c>
      <c r="C361" s="2">
        <f t="shared" ref="C361:C371" si="239">VLOOKUP($B361,$B$9:$O$22,2,FALSE)*(1+$C$356)</f>
        <v>249526514.74940509</v>
      </c>
      <c r="D361" s="2">
        <f t="shared" ref="D361:D371" si="240">VLOOKUP($B361,$B$9:$O$22,3,FALSE)*(1+$C$356)</f>
        <v>83545259.969215706</v>
      </c>
      <c r="E361" s="2">
        <f t="shared" ref="E361:E371" si="241">Q336</f>
        <v>142037999.92967522</v>
      </c>
      <c r="F361" s="4">
        <f t="shared" ref="F361:F371" si="242">C361-E361-D361</f>
        <v>23943254.850514159</v>
      </c>
      <c r="G361" s="1">
        <f t="shared" ref="G361:G371" si="243">1-H361</f>
        <v>0.90404524795867913</v>
      </c>
      <c r="H361" s="1">
        <f>MAX(0,F361/C361)</f>
        <v>9.5954752041320868E-2</v>
      </c>
      <c r="I361" s="29">
        <f t="shared" ref="I361:I371" si="244">MIN($C$5,($C$4*0.5))*$C$8</f>
        <v>1.9999999799999998E-2</v>
      </c>
      <c r="J361" s="2">
        <f t="shared" ref="J361:J371" si="245">I361*E361</f>
        <v>2840759.9701859043</v>
      </c>
      <c r="K361" s="16">
        <f t="shared" ref="K361:K371" si="246">H361/$H$373</f>
        <v>5.6896281940590293E-2</v>
      </c>
      <c r="L361" s="16">
        <f t="shared" ref="L361:L371" si="247">G361/$G$373</f>
        <v>8.7656370112807885E-2</v>
      </c>
      <c r="M361" s="2">
        <f t="shared" ref="M361:M371" si="248">$J$373*IF($J$373&lt;0,L361,K361)</f>
        <v>5865027.9789822828</v>
      </c>
      <c r="N361" s="2">
        <f>J361+M361</f>
        <v>8705787.9491681866</v>
      </c>
      <c r="O361" s="16">
        <f t="shared" si="237"/>
        <v>6.1291963794748799E-2</v>
      </c>
      <c r="Q361" s="2">
        <f t="shared" si="238"/>
        <v>150743787.8788434</v>
      </c>
    </row>
    <row r="362" spans="1:17" x14ac:dyDescent="0.2">
      <c r="A362" s="250"/>
      <c r="B362" s="14" t="s">
        <v>2</v>
      </c>
      <c r="C362" s="2">
        <f t="shared" si="239"/>
        <v>169183822.99605241</v>
      </c>
      <c r="D362" s="2">
        <f t="shared" si="240"/>
        <v>42727916.981202997</v>
      </c>
      <c r="E362" s="2">
        <f t="shared" si="241"/>
        <v>116425994.18280566</v>
      </c>
      <c r="F362" s="4">
        <f t="shared" si="242"/>
        <v>10029911.83204376</v>
      </c>
      <c r="G362" s="1">
        <f t="shared" si="243"/>
        <v>0.94071589319578275</v>
      </c>
      <c r="H362" s="1">
        <f t="shared" ref="H362:H372" si="249">MAX(0,F362/C362)</f>
        <v>5.9284106804217258E-2</v>
      </c>
      <c r="I362" s="29">
        <f t="shared" si="244"/>
        <v>1.9999999799999998E-2</v>
      </c>
      <c r="J362" s="2">
        <f t="shared" si="245"/>
        <v>2328519.860370914</v>
      </c>
      <c r="K362" s="16">
        <f t="shared" si="246"/>
        <v>3.5152456585748691E-2</v>
      </c>
      <c r="L362" s="16">
        <f t="shared" si="247"/>
        <v>9.1211961670240579E-2</v>
      </c>
      <c r="M362" s="2">
        <f t="shared" si="248"/>
        <v>3623613.6066088453</v>
      </c>
      <c r="N362" s="2">
        <f t="shared" ref="N362:N368" si="250">J362+M362</f>
        <v>5952133.4669797588</v>
      </c>
      <c r="O362" s="16">
        <f t="shared" si="237"/>
        <v>5.1123750402629571E-2</v>
      </c>
      <c r="Q362" s="2">
        <f t="shared" si="238"/>
        <v>122378127.64978541</v>
      </c>
    </row>
    <row r="363" spans="1:17" x14ac:dyDescent="0.2">
      <c r="A363" s="250"/>
      <c r="B363" s="14" t="s">
        <v>3</v>
      </c>
      <c r="C363" s="2">
        <f t="shared" si="239"/>
        <v>722710724.04607821</v>
      </c>
      <c r="D363" s="2">
        <f t="shared" si="240"/>
        <v>259304042.6852223</v>
      </c>
      <c r="E363" s="2">
        <f t="shared" si="241"/>
        <v>247466111.31248304</v>
      </c>
      <c r="F363" s="4">
        <f t="shared" si="242"/>
        <v>215940570.04837283</v>
      </c>
      <c r="G363" s="1">
        <f t="shared" si="243"/>
        <v>0.70120746397751665</v>
      </c>
      <c r="H363" s="1">
        <f t="shared" si="249"/>
        <v>0.29879253602248335</v>
      </c>
      <c r="I363" s="29">
        <f t="shared" si="244"/>
        <v>1.9999999799999998E-2</v>
      </c>
      <c r="J363" s="2">
        <f t="shared" si="245"/>
        <v>4949322.1767564379</v>
      </c>
      <c r="K363" s="16">
        <f t="shared" si="246"/>
        <v>0.17716875933313264</v>
      </c>
      <c r="L363" s="16">
        <f t="shared" si="247"/>
        <v>6.7989186522537839E-2</v>
      </c>
      <c r="M363" s="2">
        <f t="shared" si="248"/>
        <v>18263051.557136968</v>
      </c>
      <c r="N363" s="2">
        <f t="shared" si="250"/>
        <v>23212373.733893406</v>
      </c>
      <c r="O363" s="16">
        <f t="shared" si="237"/>
        <v>9.3800212121094961E-2</v>
      </c>
      <c r="Q363" s="2">
        <f t="shared" si="238"/>
        <v>270678485.04637647</v>
      </c>
    </row>
    <row r="364" spans="1:17" x14ac:dyDescent="0.2">
      <c r="A364" s="250"/>
      <c r="B364" s="14" t="s">
        <v>4</v>
      </c>
      <c r="C364" s="2">
        <f t="shared" si="239"/>
        <v>248409072.38767719</v>
      </c>
      <c r="D364" s="2">
        <f t="shared" si="240"/>
        <v>46865750.045862101</v>
      </c>
      <c r="E364" s="2">
        <f t="shared" si="241"/>
        <v>169233752.05148676</v>
      </c>
      <c r="F364" s="4">
        <f t="shared" si="242"/>
        <v>32309570.290328331</v>
      </c>
      <c r="G364" s="1">
        <f t="shared" si="243"/>
        <v>0.8699340165809053</v>
      </c>
      <c r="H364" s="1">
        <f t="shared" si="249"/>
        <v>0.13006598341909476</v>
      </c>
      <c r="I364" s="29">
        <f t="shared" si="244"/>
        <v>1.9999999799999998E-2</v>
      </c>
      <c r="J364" s="2">
        <f t="shared" si="245"/>
        <v>3384675.0071829846</v>
      </c>
      <c r="K364" s="16">
        <f t="shared" si="246"/>
        <v>7.712250520230815E-2</v>
      </c>
      <c r="L364" s="16">
        <f t="shared" si="247"/>
        <v>8.4348939727652616E-2</v>
      </c>
      <c r="M364" s="2">
        <f t="shared" si="248"/>
        <v>7950003.6802589558</v>
      </c>
      <c r="N364" s="2">
        <f t="shared" si="250"/>
        <v>11334678.687441941</v>
      </c>
      <c r="O364" s="16">
        <f t="shared" si="237"/>
        <v>6.6976466278390726E-2</v>
      </c>
      <c r="Q364" s="2">
        <f t="shared" si="238"/>
        <v>180568430.73892871</v>
      </c>
    </row>
    <row r="365" spans="1:17" x14ac:dyDescent="0.2">
      <c r="A365" s="250"/>
      <c r="B365" s="14" t="s">
        <v>5</v>
      </c>
      <c r="C365" s="2">
        <f t="shared" si="239"/>
        <v>617080079.37964618</v>
      </c>
      <c r="D365" s="2">
        <f t="shared" si="240"/>
        <v>195818116.87846342</v>
      </c>
      <c r="E365" s="2">
        <f t="shared" si="241"/>
        <v>259108278.81783479</v>
      </c>
      <c r="F365" s="4">
        <f t="shared" si="242"/>
        <v>162153683.68334797</v>
      </c>
      <c r="G365" s="1">
        <f t="shared" si="243"/>
        <v>0.73722424511521756</v>
      </c>
      <c r="H365" s="1">
        <f t="shared" si="249"/>
        <v>0.26277575488478239</v>
      </c>
      <c r="I365" s="29">
        <f t="shared" si="244"/>
        <v>1.9999999799999998E-2</v>
      </c>
      <c r="J365" s="2">
        <f t="shared" si="245"/>
        <v>5182165.5245350394</v>
      </c>
      <c r="K365" s="16">
        <f t="shared" si="246"/>
        <v>0.15581264209445003</v>
      </c>
      <c r="L365" s="16">
        <f t="shared" si="247"/>
        <v>7.1481379313559079E-2</v>
      </c>
      <c r="M365" s="2">
        <f t="shared" si="248"/>
        <v>16061603.222462185</v>
      </c>
      <c r="N365" s="2">
        <f t="shared" si="250"/>
        <v>21243768.746997222</v>
      </c>
      <c r="O365" s="16">
        <f t="shared" si="237"/>
        <v>8.1987996847960931E-2</v>
      </c>
      <c r="Q365" s="2">
        <f t="shared" si="238"/>
        <v>280352047.56483203</v>
      </c>
    </row>
    <row r="366" spans="1:17" x14ac:dyDescent="0.2">
      <c r="A366" s="250"/>
      <c r="B366" s="14" t="s">
        <v>6</v>
      </c>
      <c r="C366" s="2">
        <f t="shared" si="239"/>
        <v>446751451.97865266</v>
      </c>
      <c r="D366" s="2">
        <f t="shared" si="240"/>
        <v>195035430.10912785</v>
      </c>
      <c r="E366" s="2">
        <f t="shared" si="241"/>
        <v>216602833.78464913</v>
      </c>
      <c r="F366" s="4">
        <f t="shared" si="242"/>
        <v>35113188.084875673</v>
      </c>
      <c r="G366" s="1">
        <f t="shared" si="243"/>
        <v>0.9214033039414643</v>
      </c>
      <c r="H366" s="1">
        <f t="shared" si="249"/>
        <v>7.8596696058535712E-2</v>
      </c>
      <c r="I366" s="29">
        <f t="shared" si="244"/>
        <v>1.9999999799999998E-2</v>
      </c>
      <c r="J366" s="2">
        <f t="shared" si="245"/>
        <v>4332056.6323724156</v>
      </c>
      <c r="K366" s="16">
        <f t="shared" si="246"/>
        <v>4.6603838615721906E-2</v>
      </c>
      <c r="L366" s="16">
        <f t="shared" si="247"/>
        <v>8.933940996407802E-2</v>
      </c>
      <c r="M366" s="2">
        <f t="shared" si="248"/>
        <v>4804054.1154269343</v>
      </c>
      <c r="N366" s="2">
        <f t="shared" si="250"/>
        <v>9136110.7477993499</v>
      </c>
      <c r="O366" s="16">
        <f t="shared" si="237"/>
        <v>4.2179091511252591E-2</v>
      </c>
      <c r="Q366" s="2">
        <f t="shared" si="238"/>
        <v>225738944.53244847</v>
      </c>
    </row>
    <row r="367" spans="1:17" x14ac:dyDescent="0.2">
      <c r="A367" s="250"/>
      <c r="B367" s="14" t="s">
        <v>7</v>
      </c>
      <c r="C367" s="2">
        <f t="shared" si="239"/>
        <v>497418586.14692611</v>
      </c>
      <c r="D367" s="2">
        <f t="shared" si="240"/>
        <v>199703767.17896175</v>
      </c>
      <c r="E367" s="2">
        <f t="shared" si="241"/>
        <v>198778964.418387</v>
      </c>
      <c r="F367" s="4">
        <f t="shared" si="242"/>
        <v>98935854.549577355</v>
      </c>
      <c r="G367" s="1">
        <f t="shared" si="243"/>
        <v>0.80110141175875971</v>
      </c>
      <c r="H367" s="1">
        <f t="shared" si="249"/>
        <v>0.19889858824124027</v>
      </c>
      <c r="I367" s="29">
        <f t="shared" si="244"/>
        <v>1.9999999799999998E-2</v>
      </c>
      <c r="J367" s="2">
        <f t="shared" si="245"/>
        <v>3975579.2486119466</v>
      </c>
      <c r="K367" s="16">
        <f t="shared" si="246"/>
        <v>0.11793673490277726</v>
      </c>
      <c r="L367" s="16">
        <f t="shared" si="247"/>
        <v>7.767491948614097E-2</v>
      </c>
      <c r="M367" s="2">
        <f t="shared" si="248"/>
        <v>12157248.705229344</v>
      </c>
      <c r="N367" s="2">
        <f t="shared" si="250"/>
        <v>16132827.953841291</v>
      </c>
      <c r="O367" s="16">
        <f t="shared" si="237"/>
        <v>8.1159633772339992E-2</v>
      </c>
      <c r="Q367" s="2">
        <f t="shared" si="238"/>
        <v>214911792.37222829</v>
      </c>
    </row>
    <row r="368" spans="1:17" x14ac:dyDescent="0.2">
      <c r="A368" s="250"/>
      <c r="B368" s="14" t="s">
        <v>8</v>
      </c>
      <c r="C368" s="2">
        <f t="shared" si="239"/>
        <v>1377193793.3338048</v>
      </c>
      <c r="D368" s="2">
        <f t="shared" si="240"/>
        <v>508112205.54797101</v>
      </c>
      <c r="E368" s="2">
        <f t="shared" si="241"/>
        <v>461345428.86822277</v>
      </c>
      <c r="F368" s="4">
        <f t="shared" si="242"/>
        <v>407736158.91761112</v>
      </c>
      <c r="G368" s="1">
        <f t="shared" si="243"/>
        <v>0.70393697612403927</v>
      </c>
      <c r="H368" s="1">
        <f t="shared" si="249"/>
        <v>0.29606302387596067</v>
      </c>
      <c r="I368" s="29">
        <f t="shared" si="244"/>
        <v>1.9999999799999998E-2</v>
      </c>
      <c r="J368" s="2">
        <f t="shared" si="245"/>
        <v>9226908.4850953687</v>
      </c>
      <c r="K368" s="16">
        <f t="shared" si="246"/>
        <v>0.17555029761711524</v>
      </c>
      <c r="L368" s="16">
        <f t="shared" si="247"/>
        <v>6.8253840451622944E-2</v>
      </c>
      <c r="M368" s="2">
        <f t="shared" si="248"/>
        <v>18096215.993834864</v>
      </c>
      <c r="N368" s="2">
        <f t="shared" si="250"/>
        <v>27323124.478930235</v>
      </c>
      <c r="O368" s="16">
        <f t="shared" si="237"/>
        <v>5.9224873097712481E-2</v>
      </c>
      <c r="Q368" s="2">
        <f t="shared" si="238"/>
        <v>488668553.34715301</v>
      </c>
    </row>
    <row r="369" spans="1:17" x14ac:dyDescent="0.2">
      <c r="A369" s="250"/>
      <c r="B369" s="14" t="s">
        <v>9</v>
      </c>
      <c r="C369" s="2">
        <f t="shared" si="239"/>
        <v>140225260.58827403</v>
      </c>
      <c r="D369" s="2">
        <f t="shared" si="240"/>
        <v>60455257.536391154</v>
      </c>
      <c r="E369" s="2">
        <f t="shared" si="241"/>
        <v>76004667.178948477</v>
      </c>
      <c r="F369" s="4">
        <f t="shared" si="242"/>
        <v>3765335.872934401</v>
      </c>
      <c r="G369" s="1">
        <f t="shared" si="243"/>
        <v>0.97314794882792133</v>
      </c>
      <c r="H369" s="1">
        <f t="shared" si="249"/>
        <v>2.6852051172078673E-2</v>
      </c>
      <c r="I369" s="29">
        <f t="shared" si="244"/>
        <v>1.9999999799999998E-2</v>
      </c>
      <c r="J369" s="2">
        <f t="shared" si="245"/>
        <v>1520093.3283780359</v>
      </c>
      <c r="K369" s="16">
        <f t="shared" si="246"/>
        <v>1.5921899037494667E-2</v>
      </c>
      <c r="L369" s="16">
        <f t="shared" si="247"/>
        <v>9.4356578909730621E-2</v>
      </c>
      <c r="M369" s="2">
        <f t="shared" si="248"/>
        <v>1641273.913661791</v>
      </c>
      <c r="N369" s="2">
        <f>J369+M369</f>
        <v>3161367.2420398267</v>
      </c>
      <c r="O369" s="16">
        <f t="shared" si="237"/>
        <v>4.1594383073825916E-2</v>
      </c>
      <c r="Q369" s="2">
        <f t="shared" si="238"/>
        <v>79166034.420988306</v>
      </c>
    </row>
    <row r="370" spans="1:17" x14ac:dyDescent="0.2">
      <c r="A370" s="250"/>
      <c r="B370" s="14" t="s">
        <v>10</v>
      </c>
      <c r="C370" s="2">
        <f t="shared" si="239"/>
        <v>1880761105.9076331</v>
      </c>
      <c r="D370" s="2">
        <f t="shared" si="240"/>
        <v>1247023279.8455503</v>
      </c>
      <c r="E370" s="2">
        <f t="shared" si="241"/>
        <v>444768178.09565258</v>
      </c>
      <c r="F370" s="4">
        <f t="shared" si="242"/>
        <v>188969647.96643019</v>
      </c>
      <c r="G370" s="1">
        <f t="shared" si="243"/>
        <v>0.89952490650042671</v>
      </c>
      <c r="H370" s="1">
        <f t="shared" si="249"/>
        <v>0.10047509349957323</v>
      </c>
      <c r="I370" s="29">
        <f t="shared" si="244"/>
        <v>1.9999999799999998E-2</v>
      </c>
      <c r="J370" s="2">
        <f t="shared" si="245"/>
        <v>8895363.4729594141</v>
      </c>
      <c r="K370" s="16">
        <f t="shared" si="246"/>
        <v>5.957661424936133E-2</v>
      </c>
      <c r="L370" s="16">
        <f t="shared" si="247"/>
        <v>8.7218077090643845E-2</v>
      </c>
      <c r="M370" s="2">
        <f t="shared" si="248"/>
        <v>6141324.1348598674</v>
      </c>
      <c r="N370" s="2">
        <f t="shared" ref="N370:N371" si="251">J370+M370</f>
        <v>15036687.607819282</v>
      </c>
      <c r="O370" s="16">
        <f t="shared" si="237"/>
        <v>3.3807921403463059E-2</v>
      </c>
      <c r="Q370" s="2">
        <f t="shared" si="238"/>
        <v>459804865.70347184</v>
      </c>
    </row>
    <row r="371" spans="1:17" x14ac:dyDescent="0.2">
      <c r="A371" s="250"/>
      <c r="B371" s="14" t="s">
        <v>11</v>
      </c>
      <c r="C371" s="2">
        <f t="shared" si="239"/>
        <v>295568435.41020691</v>
      </c>
      <c r="D371" s="2">
        <f t="shared" si="240"/>
        <v>103252966.64398256</v>
      </c>
      <c r="E371" s="2">
        <f t="shared" si="241"/>
        <v>157716879.95357546</v>
      </c>
      <c r="F371" s="4">
        <f t="shared" si="242"/>
        <v>34598588.812648892</v>
      </c>
      <c r="G371" s="1">
        <f t="shared" si="243"/>
        <v>0.8829422067189584</v>
      </c>
      <c r="H371" s="1">
        <f t="shared" si="249"/>
        <v>0.11705779328104159</v>
      </c>
      <c r="I371" s="29">
        <f t="shared" si="244"/>
        <v>1.9999999799999998E-2</v>
      </c>
      <c r="J371" s="2">
        <f t="shared" si="245"/>
        <v>3154337.5675281328</v>
      </c>
      <c r="K371" s="16">
        <f t="shared" si="246"/>
        <v>6.9409310828018461E-2</v>
      </c>
      <c r="L371" s="16">
        <f t="shared" si="247"/>
        <v>8.5610215899186756E-2</v>
      </c>
      <c r="M371" s="2">
        <f t="shared" si="248"/>
        <v>7154906.0171150919</v>
      </c>
      <c r="N371" s="2">
        <f t="shared" si="251"/>
        <v>10309243.584643224</v>
      </c>
      <c r="O371" s="16">
        <f t="shared" si="237"/>
        <v>6.536550550377225E-2</v>
      </c>
      <c r="Q371" s="2">
        <f t="shared" si="238"/>
        <v>168026123.53821868</v>
      </c>
    </row>
    <row r="372" spans="1:17" x14ac:dyDescent="0.2">
      <c r="A372" s="250"/>
      <c r="B372" s="15" t="s">
        <v>14</v>
      </c>
      <c r="C372" s="30">
        <f>SUM(C360:C371)</f>
        <v>6756852781.1677904</v>
      </c>
      <c r="D372" s="30">
        <f>SUM(D360:D371)</f>
        <v>2963859605.9214387</v>
      </c>
      <c r="E372" s="30">
        <f>SUM(E360:E371)</f>
        <v>2577069955.0197616</v>
      </c>
      <c r="F372" s="30">
        <f>SUM(F360:F371)</f>
        <v>1215923220.2265911</v>
      </c>
      <c r="G372" s="1">
        <f>1-H372</f>
        <v>0.82004592084416517</v>
      </c>
      <c r="H372" s="11">
        <f t="shared" si="249"/>
        <v>0.17995407915583481</v>
      </c>
      <c r="J372" s="30">
        <f>SUM(J360:J371)</f>
        <v>51541398.58498124</v>
      </c>
      <c r="K372" s="16"/>
      <c r="L372" s="16"/>
      <c r="M372" s="30">
        <f>SUM(M360:M371)</f>
        <v>103082798.71620438</v>
      </c>
      <c r="N372" s="30">
        <f>SUM(N360:N371)</f>
        <v>154624197.30118561</v>
      </c>
      <c r="O372" s="16">
        <f t="shared" si="237"/>
        <v>5.999999999999997E-2</v>
      </c>
      <c r="Q372" s="3">
        <f>SUM(Q360:Q371)</f>
        <v>2731694152.3209472</v>
      </c>
    </row>
    <row r="373" spans="1:17" x14ac:dyDescent="0.2">
      <c r="C373" s="30"/>
      <c r="D373" s="30"/>
      <c r="E373" s="30"/>
      <c r="F373" s="30"/>
      <c r="G373" s="21">
        <f>SUM(G360:G371)</f>
        <v>10.313514543155659</v>
      </c>
      <c r="H373" s="21">
        <f>SUM(H360:H371)</f>
        <v>1.6864854568443413</v>
      </c>
      <c r="I373" s="10" t="s">
        <v>30</v>
      </c>
      <c r="J373" s="17">
        <f>C355-SUM(J360:J371)</f>
        <v>103082798.71620438</v>
      </c>
    </row>
    <row r="376" spans="1:17" x14ac:dyDescent="0.2">
      <c r="A376" s="250">
        <v>15</v>
      </c>
      <c r="B376" t="s">
        <v>34</v>
      </c>
      <c r="C376" s="4">
        <f>Q372</f>
        <v>2731694152.3209472</v>
      </c>
      <c r="D376" s="4"/>
    </row>
    <row r="377" spans="1:17" x14ac:dyDescent="0.2">
      <c r="A377" s="250"/>
      <c r="B377" t="s">
        <v>27</v>
      </c>
      <c r="C377" s="6">
        <f>C376*(1+C378)</f>
        <v>2895595801.4602041</v>
      </c>
      <c r="D377" s="6"/>
    </row>
    <row r="378" spans="1:17" x14ac:dyDescent="0.2">
      <c r="A378" s="250"/>
      <c r="B378" t="s">
        <v>28</v>
      </c>
      <c r="C378" s="20">
        <f>C4</f>
        <v>0.06</v>
      </c>
      <c r="D378" s="20"/>
    </row>
    <row r="379" spans="1:17" x14ac:dyDescent="0.2">
      <c r="A379" s="250"/>
      <c r="B379" t="s">
        <v>16</v>
      </c>
      <c r="C379" s="20">
        <f>C5</f>
        <v>0.03</v>
      </c>
      <c r="D379" s="20"/>
    </row>
    <row r="380" spans="1:17" x14ac:dyDescent="0.2">
      <c r="A380" s="250"/>
      <c r="B380" t="s">
        <v>31</v>
      </c>
      <c r="C380" s="6">
        <f>C377-C376</f>
        <v>163901649.13925695</v>
      </c>
      <c r="D380" s="6"/>
    </row>
    <row r="381" spans="1:17" x14ac:dyDescent="0.2">
      <c r="A381" s="250"/>
      <c r="B381" t="s">
        <v>48</v>
      </c>
      <c r="C381" s="20">
        <f>((1+$C$5)^A376)-1</f>
        <v>0.55796741660076443</v>
      </c>
      <c r="D381" s="20"/>
    </row>
    <row r="382" spans="1:17" ht="21" x14ac:dyDescent="0.25">
      <c r="A382" s="250"/>
      <c r="F382" s="6"/>
      <c r="G382" s="6"/>
      <c r="I382" s="251" t="s">
        <v>18</v>
      </c>
      <c r="J382" s="251"/>
      <c r="K382" s="251"/>
      <c r="L382" s="251"/>
      <c r="M382" s="251"/>
      <c r="N382" s="251"/>
      <c r="O382" s="251"/>
    </row>
    <row r="383" spans="1:17" x14ac:dyDescent="0.2">
      <c r="A383" s="250" t="s">
        <v>51</v>
      </c>
      <c r="I383" s="255" t="s">
        <v>19</v>
      </c>
      <c r="J383" s="255"/>
      <c r="K383" s="255"/>
      <c r="L383" s="255"/>
      <c r="M383" s="255"/>
      <c r="N383" s="255"/>
      <c r="O383" s="255"/>
    </row>
    <row r="384" spans="1:17" ht="49" thickBot="1" x14ac:dyDescent="0.25">
      <c r="A384" s="250"/>
      <c r="B384" s="22" t="s">
        <v>12</v>
      </c>
      <c r="C384" s="13" t="s">
        <v>15</v>
      </c>
      <c r="D384" s="13" t="s">
        <v>63</v>
      </c>
      <c r="E384" s="13" t="s">
        <v>29</v>
      </c>
      <c r="F384" s="13" t="s">
        <v>13</v>
      </c>
      <c r="G384" s="13" t="s">
        <v>50</v>
      </c>
      <c r="H384" s="13" t="s">
        <v>17</v>
      </c>
      <c r="I384" s="28" t="s">
        <v>20</v>
      </c>
      <c r="J384" s="28" t="s">
        <v>21</v>
      </c>
      <c r="K384" s="28" t="s">
        <v>22</v>
      </c>
      <c r="L384" s="28" t="s">
        <v>49</v>
      </c>
      <c r="M384" s="28" t="s">
        <v>23</v>
      </c>
      <c r="N384" s="28" t="s">
        <v>24</v>
      </c>
      <c r="O384" s="28" t="s">
        <v>25</v>
      </c>
      <c r="Q384" s="28" t="s">
        <v>32</v>
      </c>
    </row>
    <row r="385" spans="1:17" ht="16" thickTop="1" x14ac:dyDescent="0.2">
      <c r="A385" s="250"/>
      <c r="B385" s="14" t="s">
        <v>0</v>
      </c>
      <c r="C385" s="2">
        <f>VLOOKUP($B385,$B$9:$O$22,2,FALSE)*(1+$C$381)</f>
        <v>115384652.27073759</v>
      </c>
      <c r="D385" s="2">
        <f>VLOOKUP($B385,$B$9:$O$22,3,FALSE)*(1+$C$381)</f>
        <v>22676080.874472231</v>
      </c>
      <c r="E385" s="2">
        <f>Q360</f>
        <v>90656959.527672499</v>
      </c>
      <c r="F385" s="4">
        <f>C385-E385-D385</f>
        <v>2051611.8685928583</v>
      </c>
      <c r="G385" s="1">
        <f>1-H385</f>
        <v>0.98221936948963562</v>
      </c>
      <c r="H385" s="1">
        <f>MAX(0,F385/C385)</f>
        <v>1.7780630510364354E-2</v>
      </c>
      <c r="I385" s="29">
        <f>MIN($C$5,($C$4*0.5))*$C$8</f>
        <v>1.9999999799999998E-2</v>
      </c>
      <c r="J385" s="2">
        <f>I385*E385</f>
        <v>1813139.1724220579</v>
      </c>
      <c r="K385" s="16">
        <f>H385/$H$398</f>
        <v>1.1667496482867513E-2</v>
      </c>
      <c r="L385" s="16">
        <f>G385/$G$398</f>
        <v>9.3758521735892039E-2</v>
      </c>
      <c r="M385" s="2">
        <f>$J$398*IF($J$373&lt;0,L385,K385)</f>
        <v>1274881.2829533841</v>
      </c>
      <c r="N385" s="2">
        <f>J385+M385</f>
        <v>3088020.4553754423</v>
      </c>
      <c r="O385" s="16">
        <f t="shared" ref="O385:O397" si="252">N385/E385</f>
        <v>3.4062696029782936E-2</v>
      </c>
      <c r="Q385" s="2">
        <f t="shared" ref="Q385:Q396" si="253">N385+E385</f>
        <v>93744979.983047947</v>
      </c>
    </row>
    <row r="386" spans="1:17" x14ac:dyDescent="0.2">
      <c r="A386" s="250"/>
      <c r="B386" s="14" t="s">
        <v>1</v>
      </c>
      <c r="C386" s="2">
        <f t="shared" ref="C386:C396" si="254">VLOOKUP($B386,$B$9:$O$22,2,FALSE)*(1+$C$381)</f>
        <v>257012310.19188726</v>
      </c>
      <c r="D386" s="2">
        <f t="shared" ref="D386:D396" si="255">VLOOKUP($B386,$B$9:$O$22,3,FALSE)*(1+$C$381)</f>
        <v>86051617.768292174</v>
      </c>
      <c r="E386" s="2">
        <f t="shared" ref="E386:E396" si="256">Q361</f>
        <v>150743787.8788434</v>
      </c>
      <c r="F386" s="4">
        <f t="shared" ref="F386:F396" si="257">C386-E386-D386</f>
        <v>20216904.544751689</v>
      </c>
      <c r="G386" s="1">
        <f t="shared" ref="G386:G396" si="258">1-H386</f>
        <v>0.92133876961123928</v>
      </c>
      <c r="H386" s="1">
        <f>MAX(0,F386/C386)</f>
        <v>7.8661230388760758E-2</v>
      </c>
      <c r="I386" s="29">
        <f t="shared" ref="I386:I396" si="259">MIN($C$5,($C$4*0.5))*$C$8</f>
        <v>1.9999999799999998E-2</v>
      </c>
      <c r="J386" s="2">
        <f t="shared" ref="J386:J396" si="260">I386*E386</f>
        <v>3014875.7274281099</v>
      </c>
      <c r="K386" s="16">
        <f t="shared" ref="K386:K396" si="261">H386/$H$398</f>
        <v>5.1616821369968986E-2</v>
      </c>
      <c r="L386" s="16">
        <f t="shared" ref="L386:L396" si="262">G386/$G$398</f>
        <v>8.7947116234940961E-2</v>
      </c>
      <c r="M386" s="2">
        <f t="shared" ref="M386:M396" si="263">$J$398*IF($J$373&lt;0,L386,K386)</f>
        <v>5640054.792109848</v>
      </c>
      <c r="N386" s="2">
        <f>J386+M386</f>
        <v>8654930.5195379574</v>
      </c>
      <c r="O386" s="16">
        <f t="shared" si="252"/>
        <v>5.7414840381310735E-2</v>
      </c>
      <c r="Q386" s="2">
        <f t="shared" si="253"/>
        <v>159398718.39838135</v>
      </c>
    </row>
    <row r="387" spans="1:17" x14ac:dyDescent="0.2">
      <c r="A387" s="250"/>
      <c r="B387" s="14" t="s">
        <v>2</v>
      </c>
      <c r="C387" s="2">
        <f t="shared" si="254"/>
        <v>174259337.68593398</v>
      </c>
      <c r="D387" s="2">
        <f t="shared" si="255"/>
        <v>44009754.490639091</v>
      </c>
      <c r="E387" s="2">
        <f t="shared" si="256"/>
        <v>122378127.64978541</v>
      </c>
      <c r="F387" s="4">
        <f t="shared" si="257"/>
        <v>7871455.5455094725</v>
      </c>
      <c r="G387" s="1">
        <f t="shared" si="258"/>
        <v>0.95482907458482291</v>
      </c>
      <c r="H387" s="1">
        <f t="shared" ref="H387:H397" si="264">MAX(0,F387/C387)</f>
        <v>4.5170925415177032E-2</v>
      </c>
      <c r="I387" s="29">
        <f t="shared" si="259"/>
        <v>1.9999999799999998E-2</v>
      </c>
      <c r="J387" s="2">
        <f t="shared" si="260"/>
        <v>2447562.5285200826</v>
      </c>
      <c r="K387" s="16">
        <f t="shared" si="261"/>
        <v>2.9640771912010731E-2</v>
      </c>
      <c r="L387" s="16">
        <f t="shared" si="262"/>
        <v>9.1143959612646847E-2</v>
      </c>
      <c r="M387" s="2">
        <f t="shared" si="263"/>
        <v>3238780.9482866563</v>
      </c>
      <c r="N387" s="2">
        <f t="shared" ref="N387:N393" si="265">J387+M387</f>
        <v>5686343.4768067393</v>
      </c>
      <c r="O387" s="16">
        <f t="shared" si="252"/>
        <v>4.6465357707380403E-2</v>
      </c>
      <c r="Q387" s="2">
        <f t="shared" si="253"/>
        <v>128064471.12659216</v>
      </c>
    </row>
    <row r="388" spans="1:17" x14ac:dyDescent="0.2">
      <c r="A388" s="250"/>
      <c r="B388" s="14" t="s">
        <v>3</v>
      </c>
      <c r="C388" s="2">
        <f t="shared" si="254"/>
        <v>744392045.76746058</v>
      </c>
      <c r="D388" s="2">
        <f t="shared" si="255"/>
        <v>267083163.96577901</v>
      </c>
      <c r="E388" s="2">
        <f t="shared" si="256"/>
        <v>270678485.04637647</v>
      </c>
      <c r="F388" s="4">
        <f t="shared" si="257"/>
        <v>206630396.75530511</v>
      </c>
      <c r="G388" s="1">
        <f t="shared" si="258"/>
        <v>0.72241724245955463</v>
      </c>
      <c r="H388" s="1">
        <f t="shared" si="264"/>
        <v>0.27758275754044537</v>
      </c>
      <c r="I388" s="29">
        <f t="shared" si="259"/>
        <v>1.9999999799999998E-2</v>
      </c>
      <c r="J388" s="2">
        <f t="shared" si="260"/>
        <v>5413569.6467918316</v>
      </c>
      <c r="K388" s="16">
        <f t="shared" si="261"/>
        <v>0.18214741290641925</v>
      </c>
      <c r="L388" s="16">
        <f t="shared" si="262"/>
        <v>6.8958905549502153E-2</v>
      </c>
      <c r="M388" s="2">
        <f t="shared" si="263"/>
        <v>19902841.007388409</v>
      </c>
      <c r="N388" s="2">
        <f t="shared" si="265"/>
        <v>25316410.65418024</v>
      </c>
      <c r="O388" s="16">
        <f t="shared" si="252"/>
        <v>9.352945303296889E-2</v>
      </c>
      <c r="Q388" s="2">
        <f t="shared" si="253"/>
        <v>295994895.7005567</v>
      </c>
    </row>
    <row r="389" spans="1:17" x14ac:dyDescent="0.2">
      <c r="A389" s="250"/>
      <c r="B389" s="14" t="s">
        <v>4</v>
      </c>
      <c r="C389" s="2">
        <f t="shared" si="254"/>
        <v>255861344.55930755</v>
      </c>
      <c r="D389" s="2">
        <f t="shared" si="255"/>
        <v>48271722.547237962</v>
      </c>
      <c r="E389" s="2">
        <f t="shared" si="256"/>
        <v>180568430.73892871</v>
      </c>
      <c r="F389" s="4">
        <f t="shared" si="257"/>
        <v>27021191.273140877</v>
      </c>
      <c r="G389" s="1">
        <f t="shared" si="258"/>
        <v>0.89439127149244901</v>
      </c>
      <c r="H389" s="1">
        <f t="shared" si="264"/>
        <v>0.10560872850755103</v>
      </c>
      <c r="I389" s="29">
        <f t="shared" si="259"/>
        <v>1.9999999799999998E-2</v>
      </c>
      <c r="J389" s="2">
        <f t="shared" si="260"/>
        <v>3611368.5786648877</v>
      </c>
      <c r="K389" s="16">
        <f t="shared" si="261"/>
        <v>6.929953736475862E-2</v>
      </c>
      <c r="L389" s="16">
        <f t="shared" si="262"/>
        <v>8.5374821626852226E-2</v>
      </c>
      <c r="M389" s="2">
        <f t="shared" si="263"/>
        <v>7572205.6769753611</v>
      </c>
      <c r="N389" s="2">
        <f t="shared" si="265"/>
        <v>11183574.25564025</v>
      </c>
      <c r="O389" s="16">
        <f t="shared" si="252"/>
        <v>6.1935379345516933E-2</v>
      </c>
      <c r="Q389" s="2">
        <f t="shared" si="253"/>
        <v>191752004.99456894</v>
      </c>
    </row>
    <row r="390" spans="1:17" x14ac:dyDescent="0.2">
      <c r="A390" s="250"/>
      <c r="B390" s="14" t="s">
        <v>5</v>
      </c>
      <c r="C390" s="2">
        <f t="shared" si="254"/>
        <v>635592481.76103568</v>
      </c>
      <c r="D390" s="2">
        <f t="shared" si="255"/>
        <v>201692660.38481733</v>
      </c>
      <c r="E390" s="2">
        <f t="shared" si="256"/>
        <v>280352047.56483203</v>
      </c>
      <c r="F390" s="4">
        <f t="shared" si="257"/>
        <v>153547773.81138632</v>
      </c>
      <c r="G390" s="1">
        <f t="shared" si="258"/>
        <v>0.75841788847792602</v>
      </c>
      <c r="H390" s="1">
        <f t="shared" si="264"/>
        <v>0.24158211152207401</v>
      </c>
      <c r="I390" s="29">
        <f t="shared" si="259"/>
        <v>1.9999999799999998E-2</v>
      </c>
      <c r="J390" s="2">
        <f t="shared" si="260"/>
        <v>5607040.8952262308</v>
      </c>
      <c r="K390" s="16">
        <f t="shared" si="261"/>
        <v>0.15852409929245792</v>
      </c>
      <c r="L390" s="16">
        <f t="shared" si="262"/>
        <v>7.2395375504247073E-2</v>
      </c>
      <c r="M390" s="2">
        <f t="shared" si="263"/>
        <v>17321574.288173992</v>
      </c>
      <c r="N390" s="2">
        <f t="shared" si="265"/>
        <v>22928615.183400221</v>
      </c>
      <c r="O390" s="16">
        <f t="shared" si="252"/>
        <v>8.1785081944507385E-2</v>
      </c>
      <c r="Q390" s="2">
        <f t="shared" si="253"/>
        <v>303280662.74823225</v>
      </c>
    </row>
    <row r="391" spans="1:17" x14ac:dyDescent="0.2">
      <c r="A391" s="250"/>
      <c r="B391" s="14" t="s">
        <v>6</v>
      </c>
      <c r="C391" s="2">
        <f t="shared" si="254"/>
        <v>460153995.53801227</v>
      </c>
      <c r="D391" s="2">
        <f t="shared" si="255"/>
        <v>200886493.0124017</v>
      </c>
      <c r="E391" s="2">
        <f t="shared" si="256"/>
        <v>225738944.53244847</v>
      </c>
      <c r="F391" s="4">
        <f t="shared" si="257"/>
        <v>33528557.993162096</v>
      </c>
      <c r="G391" s="1">
        <f t="shared" si="258"/>
        <v>0.92713622326812462</v>
      </c>
      <c r="H391" s="1">
        <f t="shared" si="264"/>
        <v>7.2863776731875357E-2</v>
      </c>
      <c r="I391" s="29">
        <f t="shared" si="259"/>
        <v>1.9999999799999998E-2</v>
      </c>
      <c r="J391" s="2">
        <f t="shared" si="260"/>
        <v>4514778.8455011798</v>
      </c>
      <c r="K391" s="16">
        <f t="shared" si="261"/>
        <v>4.781258225078424E-2</v>
      </c>
      <c r="L391" s="16">
        <f t="shared" si="262"/>
        <v>8.8500516729358353E-2</v>
      </c>
      <c r="M391" s="2">
        <f t="shared" si="263"/>
        <v>5224374.0797951408</v>
      </c>
      <c r="N391" s="2">
        <f t="shared" si="265"/>
        <v>9739152.9252963215</v>
      </c>
      <c r="O391" s="16">
        <f t="shared" si="252"/>
        <v>4.3143432540929519E-2</v>
      </c>
      <c r="Q391" s="2">
        <f t="shared" si="253"/>
        <v>235478097.45774478</v>
      </c>
    </row>
    <row r="392" spans="1:17" x14ac:dyDescent="0.2">
      <c r="A392" s="250"/>
      <c r="B392" s="14" t="s">
        <v>7</v>
      </c>
      <c r="C392" s="2">
        <f t="shared" si="254"/>
        <v>512341143.73133391</v>
      </c>
      <c r="D392" s="2">
        <f t="shared" si="255"/>
        <v>205694880.1943306</v>
      </c>
      <c r="E392" s="2">
        <f t="shared" si="256"/>
        <v>214911792.37222829</v>
      </c>
      <c r="F392" s="4">
        <f t="shared" si="257"/>
        <v>91734471.164774984</v>
      </c>
      <c r="G392" s="1">
        <f t="shared" si="258"/>
        <v>0.82095041109390277</v>
      </c>
      <c r="H392" s="1">
        <f t="shared" si="264"/>
        <v>0.17904958890609718</v>
      </c>
      <c r="I392" s="29">
        <f t="shared" si="259"/>
        <v>1.9999999799999998E-2</v>
      </c>
      <c r="J392" s="2">
        <f t="shared" si="260"/>
        <v>4298235.8044622065</v>
      </c>
      <c r="K392" s="16">
        <f>H392/$H$398</f>
        <v>0.11749079694350809</v>
      </c>
      <c r="L392" s="16">
        <f>G392/$G$398</f>
        <v>7.8364466588183468E-2</v>
      </c>
      <c r="M392" s="2">
        <f t="shared" si="263"/>
        <v>12837956.982674154</v>
      </c>
      <c r="N392" s="2">
        <f t="shared" si="265"/>
        <v>17136192.787136361</v>
      </c>
      <c r="O392" s="16">
        <f t="shared" si="252"/>
        <v>7.973593537136571E-2</v>
      </c>
      <c r="Q392" s="2">
        <f t="shared" si="253"/>
        <v>232047985.15936464</v>
      </c>
    </row>
    <row r="393" spans="1:17" x14ac:dyDescent="0.2">
      <c r="A393" s="250"/>
      <c r="B393" s="14" t="s">
        <v>8</v>
      </c>
      <c r="C393" s="2">
        <f t="shared" si="254"/>
        <v>1418509607.1338189</v>
      </c>
      <c r="D393" s="2">
        <f t="shared" si="255"/>
        <v>523355571.71441019</v>
      </c>
      <c r="E393" s="2">
        <f t="shared" si="256"/>
        <v>488668553.34715301</v>
      </c>
      <c r="F393" s="4">
        <f t="shared" si="257"/>
        <v>406485482.07225573</v>
      </c>
      <c r="G393" s="1">
        <f t="shared" si="258"/>
        <v>0.71344185472696009</v>
      </c>
      <c r="H393" s="1">
        <f t="shared" si="264"/>
        <v>0.28655814527303997</v>
      </c>
      <c r="I393" s="29">
        <f t="shared" si="259"/>
        <v>1.9999999799999998E-2</v>
      </c>
      <c r="J393" s="2">
        <f t="shared" si="260"/>
        <v>9773370.9692093488</v>
      </c>
      <c r="K393" s="16">
        <f t="shared" si="261"/>
        <v>0.18803698497425891</v>
      </c>
      <c r="L393" s="16">
        <f t="shared" si="262"/>
        <v>6.8102152860689089E-2</v>
      </c>
      <c r="M393" s="2">
        <f t="shared" si="263"/>
        <v>20546381.393701725</v>
      </c>
      <c r="N393" s="2">
        <f t="shared" si="265"/>
        <v>30319752.362911075</v>
      </c>
      <c r="O393" s="16">
        <f t="shared" si="252"/>
        <v>6.2045638409172904E-2</v>
      </c>
      <c r="Q393" s="2">
        <f t="shared" si="253"/>
        <v>518988305.71006405</v>
      </c>
    </row>
    <row r="394" spans="1:17" x14ac:dyDescent="0.2">
      <c r="A394" s="250"/>
      <c r="B394" s="14" t="s">
        <v>9</v>
      </c>
      <c r="C394" s="2">
        <f t="shared" si="254"/>
        <v>144432018.40592226</v>
      </c>
      <c r="D394" s="2">
        <f t="shared" si="255"/>
        <v>62268915.262482889</v>
      </c>
      <c r="E394" s="2">
        <f t="shared" si="256"/>
        <v>79166034.420988306</v>
      </c>
      <c r="F394" s="4">
        <f t="shared" si="257"/>
        <v>2997068.7224510685</v>
      </c>
      <c r="G394" s="1">
        <f t="shared" si="258"/>
        <v>0.97924927758035007</v>
      </c>
      <c r="H394" s="1">
        <f t="shared" si="264"/>
        <v>2.075072241964997E-2</v>
      </c>
      <c r="I394" s="29">
        <f t="shared" si="259"/>
        <v>1.9999999799999998E-2</v>
      </c>
      <c r="J394" s="2">
        <f t="shared" si="260"/>
        <v>1583320.6725865591</v>
      </c>
      <c r="K394" s="16">
        <f t="shared" si="261"/>
        <v>1.3616445193386164E-2</v>
      </c>
      <c r="L394" s="16">
        <f t="shared" si="262"/>
        <v>9.347500927881329E-2</v>
      </c>
      <c r="M394" s="2">
        <f t="shared" si="263"/>
        <v>1487838.5558460606</v>
      </c>
      <c r="N394" s="2">
        <f>J394+M394</f>
        <v>3071159.2284326199</v>
      </c>
      <c r="O394" s="16">
        <f t="shared" si="252"/>
        <v>3.8793900072104683E-2</v>
      </c>
      <c r="Q394" s="2">
        <f t="shared" si="253"/>
        <v>82237193.649420932</v>
      </c>
    </row>
    <row r="395" spans="1:17" x14ac:dyDescent="0.2">
      <c r="A395" s="250"/>
      <c r="B395" s="14" t="s">
        <v>10</v>
      </c>
      <c r="C395" s="2">
        <f t="shared" si="254"/>
        <v>1937183939.0848622</v>
      </c>
      <c r="D395" s="2">
        <f t="shared" si="255"/>
        <v>1284433978.2409167</v>
      </c>
      <c r="E395" s="2">
        <f t="shared" si="256"/>
        <v>459804865.70347184</v>
      </c>
      <c r="F395" s="4">
        <f t="shared" si="257"/>
        <v>192945095.1404736</v>
      </c>
      <c r="G395" s="1">
        <f t="shared" si="258"/>
        <v>0.90039918706345357</v>
      </c>
      <c r="H395" s="1">
        <f t="shared" si="264"/>
        <v>9.9600812936546476E-2</v>
      </c>
      <c r="I395" s="29">
        <f t="shared" si="259"/>
        <v>1.9999999799999998E-2</v>
      </c>
      <c r="J395" s="2">
        <f t="shared" si="260"/>
        <v>9196097.2221084628</v>
      </c>
      <c r="K395" s="16">
        <f t="shared" si="261"/>
        <v>6.5357194951580377E-2</v>
      </c>
      <c r="L395" s="16">
        <f t="shared" si="262"/>
        <v>8.5948311928661397E-2</v>
      </c>
      <c r="M395" s="2">
        <f t="shared" si="263"/>
        <v>7141434.7261604713</v>
      </c>
      <c r="N395" s="2">
        <f t="shared" ref="N395:N396" si="266">J395+M395</f>
        <v>16337531.948268935</v>
      </c>
      <c r="O395" s="16">
        <f t="shared" si="252"/>
        <v>3.5531446417544021E-2</v>
      </c>
      <c r="Q395" s="2">
        <f t="shared" si="253"/>
        <v>476142397.65174079</v>
      </c>
    </row>
    <row r="396" spans="1:17" x14ac:dyDescent="0.2">
      <c r="A396" s="250"/>
      <c r="B396" s="14" t="s">
        <v>11</v>
      </c>
      <c r="C396" s="2">
        <f t="shared" si="254"/>
        <v>304435488.47251314</v>
      </c>
      <c r="D396" s="2">
        <f t="shared" si="255"/>
        <v>106350555.64330204</v>
      </c>
      <c r="E396" s="2">
        <f t="shared" si="256"/>
        <v>168026123.53821868</v>
      </c>
      <c r="F396" s="4">
        <f t="shared" si="257"/>
        <v>30058809.290992424</v>
      </c>
      <c r="G396" s="1">
        <f t="shared" si="258"/>
        <v>0.90126378024516551</v>
      </c>
      <c r="H396" s="1">
        <f t="shared" si="264"/>
        <v>9.8736219754834445E-2</v>
      </c>
      <c r="I396" s="29">
        <f t="shared" si="259"/>
        <v>1.9999999799999998E-2</v>
      </c>
      <c r="J396" s="2">
        <f t="shared" si="260"/>
        <v>3360522.4371591485</v>
      </c>
      <c r="K396" s="16">
        <f t="shared" si="261"/>
        <v>6.478985635799922E-2</v>
      </c>
      <c r="L396" s="16">
        <f t="shared" si="262"/>
        <v>8.6030842350213119E-2</v>
      </c>
      <c r="M396" s="2">
        <f t="shared" si="263"/>
        <v>7079442.9051116472</v>
      </c>
      <c r="N396" s="2">
        <f t="shared" si="266"/>
        <v>10439965.342270795</v>
      </c>
      <c r="O396" s="16">
        <f t="shared" si="252"/>
        <v>6.2132989337792793E-2</v>
      </c>
      <c r="Q396" s="2">
        <f t="shared" si="253"/>
        <v>178466088.88048947</v>
      </c>
    </row>
    <row r="397" spans="1:17" x14ac:dyDescent="0.2">
      <c r="A397" s="250"/>
      <c r="B397" s="15" t="s">
        <v>14</v>
      </c>
      <c r="C397" s="30">
        <f>SUM(C385:C396)</f>
        <v>6959558364.6028252</v>
      </c>
      <c r="D397" s="30">
        <f>SUM(D385:D396)</f>
        <v>3052775394.099082</v>
      </c>
      <c r="E397" s="30">
        <f>SUM(E385:E396)</f>
        <v>2731694152.3209472</v>
      </c>
      <c r="F397" s="30">
        <f>SUM(F385:F396)</f>
        <v>1175088818.1827962</v>
      </c>
      <c r="G397" s="1">
        <f>1-H397</f>
        <v>0.83115468588359809</v>
      </c>
      <c r="H397" s="11">
        <f t="shared" si="264"/>
        <v>0.16884531411640188</v>
      </c>
      <c r="J397" s="30">
        <f>SUM(J385:J396)</f>
        <v>54633882.500080109</v>
      </c>
      <c r="K397" s="16"/>
      <c r="L397" s="16"/>
      <c r="M397" s="30">
        <f>SUM(M385:M396)</f>
        <v>109267766.63917685</v>
      </c>
      <c r="N397" s="30">
        <f>SUM(N385:N396)</f>
        <v>163901649.13925695</v>
      </c>
      <c r="O397" s="16">
        <f t="shared" si="252"/>
        <v>6.0000000000000046E-2</v>
      </c>
      <c r="Q397" s="3">
        <f>SUM(Q385:Q396)</f>
        <v>2895595801.4602041</v>
      </c>
    </row>
    <row r="398" spans="1:17" x14ac:dyDescent="0.2">
      <c r="C398" s="30"/>
      <c r="D398" s="30"/>
      <c r="E398" s="30"/>
      <c r="F398" s="30"/>
      <c r="G398" s="21">
        <f>SUM(G385:G396)</f>
        <v>10.476054350093584</v>
      </c>
      <c r="H398" s="21">
        <f>SUM(H385:H396)</f>
        <v>1.5239456499064159</v>
      </c>
      <c r="I398" s="10" t="s">
        <v>30</v>
      </c>
      <c r="J398" s="17">
        <f>C380-SUM(J385:J396)</f>
        <v>109267766.63917685</v>
      </c>
    </row>
  </sheetData>
  <mergeCells count="64">
    <mergeCell ref="A358:A372"/>
    <mergeCell ref="I358:O358"/>
    <mergeCell ref="A376:A382"/>
    <mergeCell ref="I382:O382"/>
    <mergeCell ref="A383:A397"/>
    <mergeCell ref="I383:O383"/>
    <mergeCell ref="A326:A332"/>
    <mergeCell ref="I332:O332"/>
    <mergeCell ref="A333:A347"/>
    <mergeCell ref="I333:O333"/>
    <mergeCell ref="A351:A357"/>
    <mergeCell ref="I357:O357"/>
    <mergeCell ref="A301:A307"/>
    <mergeCell ref="A308:A322"/>
    <mergeCell ref="I307:O307"/>
    <mergeCell ref="I308:O308"/>
    <mergeCell ref="A2:A8"/>
    <mergeCell ref="A9:A23"/>
    <mergeCell ref="A26:A32"/>
    <mergeCell ref="I257:O257"/>
    <mergeCell ref="I258:O258"/>
    <mergeCell ref="I282:O282"/>
    <mergeCell ref="I283:O283"/>
    <mergeCell ref="A251:A257"/>
    <mergeCell ref="A258:A272"/>
    <mergeCell ref="A276:A282"/>
    <mergeCell ref="A283:A297"/>
    <mergeCell ref="I207:O207"/>
    <mergeCell ref="I208:O208"/>
    <mergeCell ref="I232:O232"/>
    <mergeCell ref="I233:O233"/>
    <mergeCell ref="A201:A207"/>
    <mergeCell ref="A208:A222"/>
    <mergeCell ref="A226:A232"/>
    <mergeCell ref="A233:A247"/>
    <mergeCell ref="I157:O157"/>
    <mergeCell ref="I158:O158"/>
    <mergeCell ref="I182:O182"/>
    <mergeCell ref="I183:O183"/>
    <mergeCell ref="A151:A157"/>
    <mergeCell ref="A158:A172"/>
    <mergeCell ref="A176:A182"/>
    <mergeCell ref="A183:A197"/>
    <mergeCell ref="I107:O107"/>
    <mergeCell ref="I108:O108"/>
    <mergeCell ref="I132:O132"/>
    <mergeCell ref="I133:O133"/>
    <mergeCell ref="A101:A107"/>
    <mergeCell ref="A108:A122"/>
    <mergeCell ref="A126:A132"/>
    <mergeCell ref="A133:A147"/>
    <mergeCell ref="I57:O57"/>
    <mergeCell ref="I58:O58"/>
    <mergeCell ref="I82:O82"/>
    <mergeCell ref="I83:O83"/>
    <mergeCell ref="A51:A57"/>
    <mergeCell ref="A58:A72"/>
    <mergeCell ref="A76:A82"/>
    <mergeCell ref="A83:A97"/>
    <mergeCell ref="A33:A47"/>
    <mergeCell ref="I7:O7"/>
    <mergeCell ref="I8:O8"/>
    <mergeCell ref="I32:O32"/>
    <mergeCell ref="I33:O33"/>
  </mergeCells>
  <phoneticPr fontId="7" type="noConversion"/>
  <conditionalFormatting sqref="G10:G2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5:G47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0:G72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5:G97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0:G12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35:G147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60:G172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85:G197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10:G222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35:G247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0:G272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85:G297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10:G322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35:G347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60:G372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85:G39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:H22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5:H47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0:H72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85:H97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0:H122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35:H147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60:H172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85:H197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10:H222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35:H247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60:H272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85:H297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10:H322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35:H347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60:H372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85:H397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2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0:AK2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0:AK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2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42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2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2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2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2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42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2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42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2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2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42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42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EA64F-4247-C748-BCA4-842A70272426}">
  <dimension ref="A1:AK414"/>
  <sheetViews>
    <sheetView zoomScale="150" zoomScaleNormal="150" workbookViewId="0">
      <selection activeCell="C9" sqref="C9"/>
    </sheetView>
  </sheetViews>
  <sheetFormatPr baseColWidth="10" defaultRowHeight="15" x14ac:dyDescent="0.2"/>
  <cols>
    <col min="2" max="2" width="34.33203125" bestFit="1" customWidth="1"/>
    <col min="3" max="11" width="14.5" customWidth="1"/>
    <col min="12" max="15" width="12.83203125" customWidth="1"/>
    <col min="16" max="16" width="4.33203125" customWidth="1"/>
    <col min="17" max="17" width="13.6640625" bestFit="1" customWidth="1"/>
    <col min="18" max="18" width="7.33203125" customWidth="1"/>
    <col min="19" max="19" width="34.33203125" bestFit="1" customWidth="1"/>
    <col min="20" max="21" width="16.33203125" customWidth="1"/>
    <col min="22" max="24" width="10.83203125" customWidth="1"/>
    <col min="25" max="25" width="11.5" customWidth="1"/>
    <col min="26" max="31" width="10.83203125" customWidth="1"/>
  </cols>
  <sheetData>
    <row r="1" spans="1:37" ht="48" x14ac:dyDescent="0.2">
      <c r="A1" s="250">
        <v>0</v>
      </c>
      <c r="B1" t="s">
        <v>26</v>
      </c>
      <c r="C1" s="4">
        <v>1142244899.9999998</v>
      </c>
      <c r="D1" s="4"/>
      <c r="F1" s="48" t="s">
        <v>68</v>
      </c>
      <c r="G1" s="47" t="s">
        <v>62</v>
      </c>
      <c r="H1" s="48" t="s">
        <v>55</v>
      </c>
      <c r="I1" s="48" t="s">
        <v>54</v>
      </c>
      <c r="J1" s="48" t="s">
        <v>56</v>
      </c>
    </row>
    <row r="2" spans="1:37" ht="16" thickBot="1" x14ac:dyDescent="0.25">
      <c r="A2" s="250"/>
      <c r="B2" t="s">
        <v>27</v>
      </c>
      <c r="C2" s="6">
        <f>C1*(1+C3)</f>
        <v>1210779593.9999998</v>
      </c>
      <c r="D2" s="6"/>
      <c r="F2" t="s">
        <v>53</v>
      </c>
      <c r="G2" s="7">
        <v>1</v>
      </c>
      <c r="H2" s="4">
        <f>SUMIF(I$10:I$21,G2,E$10:E$21)</f>
        <v>141630363.77939698</v>
      </c>
      <c r="I2" s="1">
        <f>H2/SUM(H$2:H$4)</f>
        <v>0.10373035854144179</v>
      </c>
      <c r="J2" s="6">
        <f>($C$5-$K$23)*I2</f>
        <v>4739418.9444624279</v>
      </c>
      <c r="K2" s="1"/>
      <c r="M2" s="6"/>
      <c r="N2" s="6"/>
    </row>
    <row r="3" spans="1:37" ht="16" thickBot="1" x14ac:dyDescent="0.25">
      <c r="A3" s="250"/>
      <c r="B3" t="s">
        <v>28</v>
      </c>
      <c r="C3" s="44">
        <v>0.06</v>
      </c>
      <c r="D3" s="65"/>
      <c r="F3" s="38" t="s">
        <v>69</v>
      </c>
      <c r="G3" s="7">
        <v>2</v>
      </c>
      <c r="H3" s="4">
        <f>SUMIF(I$10:I$21,G3,E$10:E$21)</f>
        <v>645467472.18983972</v>
      </c>
      <c r="I3" s="1">
        <f>H3/SUM(H$2:H$4)</f>
        <v>0.47274165320494704</v>
      </c>
      <c r="J3" s="6">
        <f t="shared" ref="J3:J4" si="0">($C$5-$K$23)*I3</f>
        <v>21599469.803634129</v>
      </c>
      <c r="K3" s="1"/>
      <c r="M3" s="6"/>
      <c r="N3" s="6"/>
    </row>
    <row r="4" spans="1:37" ht="16" thickBot="1" x14ac:dyDescent="0.25">
      <c r="A4" s="250"/>
      <c r="B4" t="s">
        <v>16</v>
      </c>
      <c r="C4" s="43">
        <v>0.03</v>
      </c>
      <c r="D4" s="20"/>
      <c r="F4" t="s">
        <v>70</v>
      </c>
      <c r="G4" s="7">
        <v>3</v>
      </c>
      <c r="H4" s="4">
        <f>SUMIF(I$10:I$21,G4,E$10:E$21)</f>
        <v>578272589.53462946</v>
      </c>
      <c r="I4" s="1">
        <f>H4/SUM(H$2:H$4)</f>
        <v>0.4235279882536111</v>
      </c>
      <c r="J4" s="6">
        <f t="shared" si="0"/>
        <v>19350907.480352428</v>
      </c>
      <c r="K4" s="1"/>
      <c r="M4" s="6"/>
      <c r="N4" s="6"/>
    </row>
    <row r="5" spans="1:37" x14ac:dyDescent="0.2">
      <c r="A5" s="250"/>
      <c r="B5" t="s">
        <v>31</v>
      </c>
      <c r="C5" s="6">
        <f>C2-C1</f>
        <v>68534694</v>
      </c>
      <c r="D5" s="6"/>
      <c r="E5" s="45" t="s">
        <v>64</v>
      </c>
    </row>
    <row r="6" spans="1:37" ht="16" thickBot="1" x14ac:dyDescent="0.25">
      <c r="A6" s="250"/>
      <c r="B6" t="s">
        <v>48</v>
      </c>
      <c r="C6" s="20">
        <f>((1+$C$4)^A1)-1</f>
        <v>0</v>
      </c>
      <c r="D6" s="16"/>
    </row>
    <row r="7" spans="1:37" ht="17" thickBot="1" x14ac:dyDescent="0.25">
      <c r="A7" s="250"/>
      <c r="B7" t="s">
        <v>105</v>
      </c>
      <c r="C7" s="104">
        <v>0.66666665999999997</v>
      </c>
      <c r="D7" s="16"/>
      <c r="E7" s="46" t="s">
        <v>65</v>
      </c>
    </row>
    <row r="8" spans="1:37" x14ac:dyDescent="0.2">
      <c r="A8" s="250"/>
    </row>
    <row r="9" spans="1:37" ht="49" thickBot="1" x14ac:dyDescent="0.3">
      <c r="A9" s="258" t="s">
        <v>51</v>
      </c>
      <c r="B9" s="22" t="s">
        <v>12</v>
      </c>
      <c r="C9" s="13" t="s">
        <v>15</v>
      </c>
      <c r="D9" s="13" t="s">
        <v>63</v>
      </c>
      <c r="E9" s="13" t="s">
        <v>13</v>
      </c>
      <c r="F9" s="13" t="s">
        <v>29</v>
      </c>
      <c r="G9" s="13" t="s">
        <v>50</v>
      </c>
      <c r="H9" s="13" t="s">
        <v>17</v>
      </c>
      <c r="I9" s="13" t="s">
        <v>52</v>
      </c>
      <c r="J9" s="13" t="s">
        <v>59</v>
      </c>
      <c r="K9" s="13" t="s">
        <v>60</v>
      </c>
      <c r="L9" s="13" t="s">
        <v>61</v>
      </c>
      <c r="M9" s="13" t="s">
        <v>58</v>
      </c>
      <c r="N9" s="13" t="s">
        <v>57</v>
      </c>
      <c r="O9" s="28" t="s">
        <v>25</v>
      </c>
      <c r="P9" s="28"/>
      <c r="Q9" s="28" t="s">
        <v>32</v>
      </c>
      <c r="S9" s="12" t="s">
        <v>66</v>
      </c>
    </row>
    <row r="10" spans="1:37" ht="17" thickTop="1" x14ac:dyDescent="0.2">
      <c r="A10" s="258"/>
      <c r="B10" s="14" t="s">
        <v>0</v>
      </c>
      <c r="C10" s="2">
        <v>74061017.606188729</v>
      </c>
      <c r="D10" s="2">
        <v>14554913.429414211</v>
      </c>
      <c r="E10" s="4">
        <f t="shared" ref="E10:E21" si="1">C10-D10-F10</f>
        <v>20012870.843441181</v>
      </c>
      <c r="F10" s="18">
        <v>39493233.333333336</v>
      </c>
      <c r="G10" s="1">
        <f t="shared" ref="G10:G21" si="2">1-H10</f>
        <v>0.72977861376605158</v>
      </c>
      <c r="H10" s="1">
        <f t="shared" ref="H10:H21" si="3">MAX(0,E10/C10)</f>
        <v>0.27022138623394842</v>
      </c>
      <c r="I10" s="39">
        <f>IF(H10&lt;0.15,1,IF(H10&gt;0.46,3,2))</f>
        <v>2</v>
      </c>
      <c r="J10" s="41">
        <f t="shared" ref="J10:J21" si="4">MIN($C$4,($C$3*0.5))*$C$7</f>
        <v>1.9999999799999998E-2</v>
      </c>
      <c r="K10" s="4">
        <f>J10*F10</f>
        <v>789864.65876801999</v>
      </c>
      <c r="L10" s="40">
        <f>H10/SUMIF($I$10:$I$21,I10,$H$10:$H$21)</f>
        <v>0.12735443519277603</v>
      </c>
      <c r="M10" s="18">
        <f>L10*VLOOKUP(I10,$G$1:$J$4,4,FALSE)</f>
        <v>2750788.2773052454</v>
      </c>
      <c r="N10" s="40">
        <f t="shared" ref="N10:N21" si="5">M10/SUM($M$10:$M$21)</f>
        <v>6.0205746236015226E-2</v>
      </c>
      <c r="O10" s="16">
        <f>(K10+M10)/F10</f>
        <v>8.9652141322266982E-2</v>
      </c>
      <c r="P10" s="18"/>
      <c r="Q10" s="18">
        <f>M10+K10+F10</f>
        <v>43033886.269406602</v>
      </c>
      <c r="S10" s="22" t="s">
        <v>12</v>
      </c>
      <c r="T10" s="13" t="s">
        <v>15</v>
      </c>
      <c r="U10" s="13" t="s">
        <v>13</v>
      </c>
      <c r="V10" s="54" t="s">
        <v>37</v>
      </c>
      <c r="W10" s="54" t="s">
        <v>35</v>
      </c>
      <c r="X10" s="54" t="s">
        <v>36</v>
      </c>
      <c r="Y10" s="54" t="s">
        <v>38</v>
      </c>
      <c r="Z10" s="54" t="s">
        <v>39</v>
      </c>
      <c r="AA10" s="54" t="s">
        <v>40</v>
      </c>
      <c r="AB10" s="54" t="s">
        <v>41</v>
      </c>
      <c r="AC10" s="54" t="s">
        <v>42</v>
      </c>
      <c r="AD10" s="54" t="s">
        <v>43</v>
      </c>
      <c r="AE10" s="54" t="s">
        <v>44</v>
      </c>
      <c r="AF10" s="54" t="s">
        <v>45</v>
      </c>
      <c r="AG10" s="54" t="s">
        <v>46</v>
      </c>
      <c r="AH10" s="13" t="s">
        <v>47</v>
      </c>
      <c r="AI10" s="13" t="s">
        <v>75</v>
      </c>
      <c r="AJ10" s="54" t="s">
        <v>76</v>
      </c>
      <c r="AK10" s="55" t="s">
        <v>77</v>
      </c>
    </row>
    <row r="11" spans="1:37" ht="16" x14ac:dyDescent="0.2">
      <c r="A11" s="258"/>
      <c r="B11" s="14" t="s">
        <v>1</v>
      </c>
      <c r="C11" s="2">
        <v>164966421.92469403</v>
      </c>
      <c r="D11" s="2">
        <v>55233258.957394011</v>
      </c>
      <c r="E11" s="4">
        <f t="shared" si="1"/>
        <v>66753996.300633363</v>
      </c>
      <c r="F11" s="18">
        <v>42979166.666666664</v>
      </c>
      <c r="G11" s="1">
        <f t="shared" si="2"/>
        <v>0.59534797735319689</v>
      </c>
      <c r="H11" s="1">
        <f t="shared" si="3"/>
        <v>0.40465202264680311</v>
      </c>
      <c r="I11" s="39">
        <f t="shared" ref="I11:I21" si="6">IF(H11&lt;0.15,1,IF(H11&gt;0.46,3,2))</f>
        <v>2</v>
      </c>
      <c r="J11" s="41">
        <f t="shared" si="4"/>
        <v>1.9999999799999998E-2</v>
      </c>
      <c r="K11" s="4">
        <f t="shared" ref="K11:K21" si="7">J11*F11</f>
        <v>859583.32473749982</v>
      </c>
      <c r="L11" s="40">
        <f t="shared" ref="L11:L21" si="8">H11/SUMIF($I$10:$I$21,I11,$H$10:$H$21)</f>
        <v>0.19071114433992822</v>
      </c>
      <c r="M11" s="18">
        <f t="shared" ref="M11:M21" si="9">L11*VLOOKUP(I11,$G$1:$J$4,4,FALSE)</f>
        <v>4119259.6033867896</v>
      </c>
      <c r="N11" s="40">
        <f t="shared" si="5"/>
        <v>9.0157101659864958E-2</v>
      </c>
      <c r="O11" s="16">
        <f t="shared" ref="O11:O21" si="10">(K11+M11)/F11</f>
        <v>0.11584317040715748</v>
      </c>
      <c r="P11" s="18"/>
      <c r="Q11" s="18">
        <f t="shared" ref="Q11:Q21" si="11">M11+K11+F11</f>
        <v>47958009.59479095</v>
      </c>
      <c r="S11" s="14" t="s">
        <v>0</v>
      </c>
      <c r="T11" s="2">
        <v>74061017.606188729</v>
      </c>
      <c r="U11" s="31">
        <v>20012870.843441181</v>
      </c>
      <c r="V11" s="56">
        <f>VLOOKUP($S11,$B$9:$Q$21,7,FALSE)</f>
        <v>0.27022138623394842</v>
      </c>
      <c r="W11" s="56">
        <f>VLOOKUP($S11,$B$35:$Q$47,7,FALSE)</f>
        <v>0.23933821926142854</v>
      </c>
      <c r="X11" s="56">
        <f>VLOOKUP($S11,$B$61:$Q$73,7,FALSE)</f>
        <v>0.20824022331306313</v>
      </c>
      <c r="Y11" s="56">
        <f>VLOOKUP($S11,$B$87:$Q$99,7,FALSE)</f>
        <v>0.18332388111518322</v>
      </c>
      <c r="Z11" s="56">
        <f>VLOOKUP($S11,$B$113:$Q$125,7,FALSE)</f>
        <v>0.15999581400857715</v>
      </c>
      <c r="AA11" s="56">
        <f>VLOOKUP($S11,$B$139:$Q$151,7,FALSE)</f>
        <v>0.13618376708557181</v>
      </c>
      <c r="AB11" s="56">
        <f>VLOOKUP($S11,$B$165:$Q$177,7,FALSE)</f>
        <v>0.10488794700940543</v>
      </c>
      <c r="AC11" s="56">
        <f>VLOOKUP($S11,$B$191:$Q$203,7,FALSE)</f>
        <v>8.7161245127747491E-2</v>
      </c>
      <c r="AD11" s="56">
        <f>VLOOKUP($S11,$B$217:$Q$229,7,FALSE)</f>
        <v>7.0484509022994524E-2</v>
      </c>
      <c r="AE11" s="56">
        <f>VLOOKUP($S11,$B$243:$Q$255,7,FALSE)</f>
        <v>5.5251764001560968E-2</v>
      </c>
      <c r="AF11" s="56">
        <f>VLOOKUP($S11,$B$269:$Q$281,7,FALSE)</f>
        <v>4.1877851095807508E-2</v>
      </c>
      <c r="AG11" s="56">
        <f>VLOOKUP($S11,$B$295:$Q$307,7,FALSE)</f>
        <v>3.0741581819356809E-2</v>
      </c>
      <c r="AH11" s="24">
        <f>VLOOKUP($S11,$B$321:$Q$333,7,FALSE)</f>
        <v>2.664970419114537E-2</v>
      </c>
      <c r="AI11" s="24">
        <f>VLOOKUP($S11,$B$347:$Q$361,7,FALSE)</f>
        <v>2.4607818563687576E-2</v>
      </c>
      <c r="AJ11" s="56">
        <f>VLOOKUP($S11,$B$373:$Q$387,7,FALSE)</f>
        <v>2.3211532351795544E-2</v>
      </c>
      <c r="AK11" s="57">
        <f>VLOOKUP($S11,$B$399:$Q$413,7,FALSE)</f>
        <v>2.2196543279815847E-2</v>
      </c>
    </row>
    <row r="12" spans="1:37" ht="16" x14ac:dyDescent="0.2">
      <c r="A12" s="258"/>
      <c r="B12" s="14" t="s">
        <v>2</v>
      </c>
      <c r="C12" s="2">
        <v>111850437.83915582</v>
      </c>
      <c r="D12" s="2">
        <v>28248186.721813045</v>
      </c>
      <c r="E12" s="4">
        <f t="shared" si="1"/>
        <v>59635517.784009442</v>
      </c>
      <c r="F12" s="18">
        <v>23966733.333333332</v>
      </c>
      <c r="G12" s="1">
        <f t="shared" si="2"/>
        <v>0.46682803450651622</v>
      </c>
      <c r="H12" s="1">
        <f t="shared" si="3"/>
        <v>0.53317196549348378</v>
      </c>
      <c r="I12" s="39">
        <f t="shared" si="6"/>
        <v>3</v>
      </c>
      <c r="J12" s="41">
        <f t="shared" si="4"/>
        <v>1.9999999799999998E-2</v>
      </c>
      <c r="K12" s="4">
        <f t="shared" si="7"/>
        <v>479334.66187331994</v>
      </c>
      <c r="L12" s="40">
        <f t="shared" si="8"/>
        <v>0.25738366129960089</v>
      </c>
      <c r="M12" s="18">
        <f t="shared" si="9"/>
        <v>4980607.4167629424</v>
      </c>
      <c r="N12" s="40">
        <f t="shared" si="5"/>
        <v>0.10900918427956878</v>
      </c>
      <c r="O12" s="16">
        <f>(K12+M12)/F12</f>
        <v>0.22781336124112017</v>
      </c>
      <c r="P12" s="18"/>
      <c r="Q12" s="18">
        <f t="shared" si="11"/>
        <v>29426675.411969595</v>
      </c>
      <c r="S12" s="14" t="s">
        <v>1</v>
      </c>
      <c r="T12" s="2">
        <v>164966421.92469403</v>
      </c>
      <c r="U12" s="31">
        <v>66753996.300633356</v>
      </c>
      <c r="V12" s="24">
        <f t="shared" ref="V12:V22" si="12">VLOOKUP($S12,$B$9:$Q$21,7,FALSE)</f>
        <v>0.40465202264680311</v>
      </c>
      <c r="W12" s="24">
        <f t="shared" ref="W12:W22" si="13">VLOOKUP($S12,$B$35:$Q$47,7,FALSE)</f>
        <v>0.38293846630354195</v>
      </c>
      <c r="X12" s="24">
        <f t="shared" ref="X12:X22" si="14">VLOOKUP($S12,$B$61:$Q$73,7,FALSE)</f>
        <v>0.359406555127812</v>
      </c>
      <c r="Y12" s="24">
        <f t="shared" ref="Y12:Y22" si="15">VLOOKUP($S12,$B$87:$Q$99,7,FALSE)</f>
        <v>0.33859113186523965</v>
      </c>
      <c r="Z12" s="24">
        <f t="shared" ref="Z12:Z22" si="16">VLOOKUP($S12,$B$113:$Q$125,7,FALSE)</f>
        <v>0.31742628553363839</v>
      </c>
      <c r="AA12" s="24">
        <f t="shared" ref="AA12:AA22" si="17">VLOOKUP($S12,$B$139:$Q$151,7,FALSE)</f>
        <v>0.29402885619683866</v>
      </c>
      <c r="AB12" s="24">
        <f t="shared" ref="AB12:AB22" si="18">VLOOKUP($S12,$B$165:$Q$177,7,FALSE)</f>
        <v>0.27174233382881036</v>
      </c>
      <c r="AC12" s="24">
        <f t="shared" ref="AC12:AC22" si="19">VLOOKUP($S12,$B$191:$Q$203,7,FALSE)</f>
        <v>0.2485259088291901</v>
      </c>
      <c r="AD12" s="24">
        <f t="shared" ref="AD12:AD22" si="20">VLOOKUP($S12,$B$217:$Q$229,7,FALSE)</f>
        <v>0.22563025975787654</v>
      </c>
      <c r="AE12" s="24">
        <f t="shared" ref="AE12:AE22" si="21">VLOOKUP($S12,$B$243:$Q$255,7,FALSE)</f>
        <v>0.20315835677790328</v>
      </c>
      <c r="AF12" s="24">
        <f t="shared" ref="AF12:AF22" si="22">VLOOKUP($S12,$B$269:$Q$281,7,FALSE)</f>
        <v>0.1812263469586938</v>
      </c>
      <c r="AG12" s="24">
        <f t="shared" ref="AG12:AG22" si="23">VLOOKUP($S12,$B$295:$Q$307,7,FALSE)</f>
        <v>0.15996393204247461</v>
      </c>
      <c r="AH12" s="24">
        <f t="shared" ref="AH12:AH22" si="24">VLOOKUP($S12,$B$321:$Q$333,7,FALSE)</f>
        <v>0.13823553888947956</v>
      </c>
      <c r="AI12" s="24">
        <f t="shared" ref="AI12:AI23" si="25">VLOOKUP($S12,$B$347:$Q$361,7,FALSE)</f>
        <v>0.12103318901762875</v>
      </c>
      <c r="AJ12" s="24">
        <f t="shared" ref="AJ12:AJ23" si="26">VLOOKUP($S12,$B$373:$Q$387,7,FALSE)</f>
        <v>0.10653553988696655</v>
      </c>
      <c r="AK12" s="32">
        <f t="shared" ref="AK12:AK23" si="27">VLOOKUP($S12,$B$399:$Q$413,7,FALSE)</f>
        <v>9.4258399454945505E-2</v>
      </c>
    </row>
    <row r="13" spans="1:37" ht="16" x14ac:dyDescent="0.2">
      <c r="A13" s="258"/>
      <c r="B13" s="14" t="s">
        <v>3</v>
      </c>
      <c r="C13" s="2">
        <v>477796928.12292886</v>
      </c>
      <c r="D13" s="2">
        <v>171430519.73995176</v>
      </c>
      <c r="E13" s="4">
        <f t="shared" si="1"/>
        <v>234399775.04964381</v>
      </c>
      <c r="F13" s="18">
        <v>71966633.333333328</v>
      </c>
      <c r="G13" s="1">
        <f t="shared" si="2"/>
        <v>0.50941548332990361</v>
      </c>
      <c r="H13" s="1">
        <f t="shared" si="3"/>
        <v>0.49058451667009634</v>
      </c>
      <c r="I13" s="39">
        <f t="shared" si="6"/>
        <v>3</v>
      </c>
      <c r="J13" s="41">
        <f t="shared" si="4"/>
        <v>1.9999999799999998E-2</v>
      </c>
      <c r="K13" s="4">
        <f t="shared" si="7"/>
        <v>1439332.6522733397</v>
      </c>
      <c r="L13" s="40">
        <f t="shared" si="8"/>
        <v>0.23682497814860765</v>
      </c>
      <c r="M13" s="18">
        <f t="shared" si="9"/>
        <v>4582778.2411901923</v>
      </c>
      <c r="N13" s="40">
        <f t="shared" si="5"/>
        <v>0.10030200656348522</v>
      </c>
      <c r="O13" s="16">
        <f t="shared" si="10"/>
        <v>8.3679208190418783E-2</v>
      </c>
      <c r="P13" s="18"/>
      <c r="Q13" s="18">
        <f t="shared" si="11"/>
        <v>77988744.226796865</v>
      </c>
      <c r="S13" s="14" t="s">
        <v>2</v>
      </c>
      <c r="T13" s="2">
        <v>111850437.83915582</v>
      </c>
      <c r="U13" s="31">
        <v>59635517.784009442</v>
      </c>
      <c r="V13" s="24">
        <f t="shared" si="12"/>
        <v>0.53317196549348378</v>
      </c>
      <c r="W13" s="24">
        <f t="shared" si="13"/>
        <v>0.49202009756877385</v>
      </c>
      <c r="X13" s="24">
        <f t="shared" si="14"/>
        <v>0.45738360718824411</v>
      </c>
      <c r="Y13" s="24">
        <f t="shared" si="15"/>
        <v>0.41555812885028354</v>
      </c>
      <c r="Z13" s="24">
        <f t="shared" si="16"/>
        <v>0.37472920590317815</v>
      </c>
      <c r="AA13" s="24">
        <f t="shared" si="17"/>
        <v>0.33173114364370354</v>
      </c>
      <c r="AB13" s="24">
        <f t="shared" si="18"/>
        <v>0.29268621070475631</v>
      </c>
      <c r="AC13" s="24">
        <f t="shared" si="19"/>
        <v>0.25415272713294895</v>
      </c>
      <c r="AD13" s="24">
        <f t="shared" si="20"/>
        <v>0.21830769106387987</v>
      </c>
      <c r="AE13" s="24">
        <f t="shared" si="21"/>
        <v>0.18528731621005456</v>
      </c>
      <c r="AF13" s="24">
        <f t="shared" si="22"/>
        <v>0.15520955229026631</v>
      </c>
      <c r="AG13" s="24">
        <f t="shared" si="23"/>
        <v>0.12816673564200548</v>
      </c>
      <c r="AH13" s="24">
        <f t="shared" si="24"/>
        <v>0.10217257142300354</v>
      </c>
      <c r="AI13" s="24">
        <f t="shared" si="25"/>
        <v>8.410777875799072E-2</v>
      </c>
      <c r="AJ13" s="24">
        <f t="shared" si="26"/>
        <v>7.0274373444132579E-2</v>
      </c>
      <c r="AK13" s="32">
        <f t="shared" si="27"/>
        <v>5.9627949784023915E-2</v>
      </c>
    </row>
    <row r="14" spans="1:37" ht="16" x14ac:dyDescent="0.2">
      <c r="A14" s="258"/>
      <c r="B14" s="14" t="s">
        <v>4</v>
      </c>
      <c r="C14" s="2">
        <v>164227660.88237971</v>
      </c>
      <c r="D14" s="2">
        <v>30983781.838364206</v>
      </c>
      <c r="E14" s="4">
        <f t="shared" si="1"/>
        <v>96491379.044015497</v>
      </c>
      <c r="F14" s="18">
        <v>36752500</v>
      </c>
      <c r="G14" s="1">
        <f t="shared" si="2"/>
        <v>0.41245355060422573</v>
      </c>
      <c r="H14" s="1">
        <f t="shared" si="3"/>
        <v>0.58754644939577427</v>
      </c>
      <c r="I14" s="39">
        <f t="shared" si="6"/>
        <v>3</v>
      </c>
      <c r="J14" s="41">
        <f t="shared" si="4"/>
        <v>1.9999999799999998E-2</v>
      </c>
      <c r="K14" s="4">
        <f t="shared" si="7"/>
        <v>735049.99264949991</v>
      </c>
      <c r="L14" s="40">
        <f t="shared" si="8"/>
        <v>0.2836324227758244</v>
      </c>
      <c r="M14" s="18">
        <f t="shared" si="9"/>
        <v>5488544.7715631826</v>
      </c>
      <c r="N14" s="40">
        <f t="shared" si="5"/>
        <v>0.12012626942174262</v>
      </c>
      <c r="O14" s="16">
        <f t="shared" si="10"/>
        <v>0.16933799780185518</v>
      </c>
      <c r="P14" s="18"/>
      <c r="Q14" s="18">
        <f t="shared" si="11"/>
        <v>42976094.764212683</v>
      </c>
      <c r="S14" s="14" t="s">
        <v>3</v>
      </c>
      <c r="T14" s="2">
        <v>477796928.12292886</v>
      </c>
      <c r="U14" s="31">
        <v>234399775.04964375</v>
      </c>
      <c r="V14" s="24">
        <f t="shared" si="12"/>
        <v>0.49058451667009634</v>
      </c>
      <c r="W14" s="24">
        <f t="shared" si="13"/>
        <v>0.48273475069094185</v>
      </c>
      <c r="X14" s="24">
        <f t="shared" si="14"/>
        <v>0.47574848507011519</v>
      </c>
      <c r="Y14" s="24">
        <f t="shared" si="15"/>
        <v>0.46609523576416845</v>
      </c>
      <c r="Z14" s="24">
        <f t="shared" si="16"/>
        <v>0.4559935112537441</v>
      </c>
      <c r="AA14" s="24">
        <f t="shared" si="17"/>
        <v>0.44451234463384509</v>
      </c>
      <c r="AB14" s="24">
        <f t="shared" si="18"/>
        <v>0.43290818624917066</v>
      </c>
      <c r="AC14" s="24">
        <f t="shared" si="19"/>
        <v>0.42005959880280785</v>
      </c>
      <c r="AD14" s="24">
        <f t="shared" si="20"/>
        <v>0.40648481893778293</v>
      </c>
      <c r="AE14" s="24">
        <f t="shared" si="21"/>
        <v>0.39213141004073576</v>
      </c>
      <c r="AF14" s="24">
        <f t="shared" si="22"/>
        <v>0.37694428146180248</v>
      </c>
      <c r="AG14" s="24">
        <f t="shared" si="23"/>
        <v>0.36086631716621315</v>
      </c>
      <c r="AH14" s="24">
        <f t="shared" si="24"/>
        <v>0.34284351972493277</v>
      </c>
      <c r="AI14" s="24">
        <f t="shared" si="25"/>
        <v>0.32272287383991444</v>
      </c>
      <c r="AJ14" s="24">
        <f t="shared" si="26"/>
        <v>0.30025445266514572</v>
      </c>
      <c r="AK14" s="32">
        <f t="shared" si="27"/>
        <v>0.27474370015631044</v>
      </c>
    </row>
    <row r="15" spans="1:37" ht="16" x14ac:dyDescent="0.2">
      <c r="A15" s="258"/>
      <c r="B15" s="14" t="s">
        <v>5</v>
      </c>
      <c r="C15" s="2">
        <v>407962628.09385109</v>
      </c>
      <c r="D15" s="2">
        <v>129458843.77022366</v>
      </c>
      <c r="E15" s="4">
        <f t="shared" si="1"/>
        <v>187745917.65696073</v>
      </c>
      <c r="F15" s="18">
        <v>90757866.666666672</v>
      </c>
      <c r="G15" s="1">
        <f t="shared" si="2"/>
        <v>0.53979628346307718</v>
      </c>
      <c r="H15" s="1">
        <f t="shared" si="3"/>
        <v>0.46020371653692282</v>
      </c>
      <c r="I15" s="39">
        <f t="shared" si="6"/>
        <v>3</v>
      </c>
      <c r="J15" s="41">
        <f t="shared" si="4"/>
        <v>1.9999999799999998E-2</v>
      </c>
      <c r="K15" s="4">
        <f t="shared" si="7"/>
        <v>1815157.3151817599</v>
      </c>
      <c r="L15" s="40">
        <f t="shared" si="8"/>
        <v>0.22215893777596699</v>
      </c>
      <c r="M15" s="18">
        <f t="shared" si="9"/>
        <v>4298977.0508361096</v>
      </c>
      <c r="N15" s="40">
        <f t="shared" si="5"/>
        <v>9.4090527988814482E-2</v>
      </c>
      <c r="O15" s="16">
        <f t="shared" si="10"/>
        <v>6.7367541686206844E-2</v>
      </c>
      <c r="P15" s="18"/>
      <c r="Q15" s="18">
        <f t="shared" si="11"/>
        <v>96872001.032684535</v>
      </c>
      <c r="S15" s="14" t="s">
        <v>4</v>
      </c>
      <c r="T15" s="2">
        <v>164227660.88237971</v>
      </c>
      <c r="U15" s="31">
        <v>96491379.044015497</v>
      </c>
      <c r="V15" s="24">
        <f t="shared" si="12"/>
        <v>0.58754644939577427</v>
      </c>
      <c r="W15" s="24">
        <f t="shared" si="13"/>
        <v>0.55727223236049028</v>
      </c>
      <c r="X15" s="24">
        <f t="shared" si="14"/>
        <v>0.53110755715194968</v>
      </c>
      <c r="Y15" s="24">
        <f t="shared" si="15"/>
        <v>0.49725809879175531</v>
      </c>
      <c r="Z15" s="24">
        <f t="shared" si="16"/>
        <v>0.4636759889863728</v>
      </c>
      <c r="AA15" s="24">
        <f t="shared" si="17"/>
        <v>0.44823862935671888</v>
      </c>
      <c r="AB15" s="24">
        <f t="shared" si="18"/>
        <v>0.41211776931457517</v>
      </c>
      <c r="AC15" s="24">
        <f t="shared" si="19"/>
        <v>0.37480671019221018</v>
      </c>
      <c r="AD15" s="24">
        <f t="shared" si="20"/>
        <v>0.3382320301778402</v>
      </c>
      <c r="AE15" s="24">
        <f t="shared" si="21"/>
        <v>0.30256111386469509</v>
      </c>
      <c r="AF15" s="24">
        <f t="shared" si="22"/>
        <v>0.26798015213741078</v>
      </c>
      <c r="AG15" s="24">
        <f t="shared" si="23"/>
        <v>0.23469406863376374</v>
      </c>
      <c r="AH15" s="24">
        <f t="shared" si="24"/>
        <v>0.20104099553965776</v>
      </c>
      <c r="AI15" s="24">
        <f t="shared" si="25"/>
        <v>0.16769795107534946</v>
      </c>
      <c r="AJ15" s="24">
        <f t="shared" si="26"/>
        <v>0.13530445064601693</v>
      </c>
      <c r="AK15" s="32">
        <f t="shared" si="27"/>
        <v>0.11928585429897644</v>
      </c>
    </row>
    <row r="16" spans="1:37" ht="16" x14ac:dyDescent="0.2">
      <c r="A16" s="258"/>
      <c r="B16" s="14" t="s">
        <v>6</v>
      </c>
      <c r="C16" s="2">
        <v>295355339.6784091</v>
      </c>
      <c r="D16" s="2">
        <v>128941395.61063728</v>
      </c>
      <c r="E16" s="4">
        <f t="shared" si="1"/>
        <v>30753929.338460058</v>
      </c>
      <c r="F16" s="18">
        <v>135660014.72931176</v>
      </c>
      <c r="G16" s="1">
        <f t="shared" si="2"/>
        <v>0.89587481515673373</v>
      </c>
      <c r="H16" s="1">
        <f t="shared" si="3"/>
        <v>0.10412518484326631</v>
      </c>
      <c r="I16" s="39">
        <f t="shared" si="6"/>
        <v>1</v>
      </c>
      <c r="J16" s="41">
        <f t="shared" si="4"/>
        <v>1.9999999799999998E-2</v>
      </c>
      <c r="K16" s="4">
        <f t="shared" si="7"/>
        <v>2713200.2674542321</v>
      </c>
      <c r="L16" s="40">
        <f t="shared" si="8"/>
        <v>0.53868026032300254</v>
      </c>
      <c r="M16" s="18">
        <f t="shared" si="9"/>
        <v>2553031.4307827908</v>
      </c>
      <c r="N16" s="40">
        <f t="shared" si="5"/>
        <v>5.587749654250225E-2</v>
      </c>
      <c r="O16" s="16">
        <f t="shared" si="10"/>
        <v>3.8819336034607986E-2</v>
      </c>
      <c r="P16" s="18"/>
      <c r="Q16" s="18">
        <f t="shared" si="11"/>
        <v>140926246.4275488</v>
      </c>
      <c r="S16" s="14" t="s">
        <v>5</v>
      </c>
      <c r="T16" s="2">
        <v>407962628.09385109</v>
      </c>
      <c r="U16" s="31">
        <v>187745917.65696079</v>
      </c>
      <c r="V16" s="24">
        <f t="shared" si="12"/>
        <v>0.46020371653692282</v>
      </c>
      <c r="W16" s="24">
        <f t="shared" si="13"/>
        <v>0.45213283075942606</v>
      </c>
      <c r="X16" s="24">
        <f t="shared" si="14"/>
        <v>0.44182786067023183</v>
      </c>
      <c r="Y16" s="24">
        <f t="shared" si="15"/>
        <v>0.43234307459470717</v>
      </c>
      <c r="Z16" s="24">
        <f t="shared" si="16"/>
        <v>0.42220817931119325</v>
      </c>
      <c r="AA16" s="24">
        <f t="shared" si="17"/>
        <v>0.41033675924086055</v>
      </c>
      <c r="AB16" s="24">
        <f t="shared" si="18"/>
        <v>0.39837053034899989</v>
      </c>
      <c r="AC16" s="24">
        <f t="shared" si="19"/>
        <v>0.38510374090211169</v>
      </c>
      <c r="AD16" s="24">
        <f t="shared" si="20"/>
        <v>0.3711119315778606</v>
      </c>
      <c r="AE16" s="24">
        <f t="shared" si="21"/>
        <v>0.35635254732313792</v>
      </c>
      <c r="AF16" s="24">
        <f t="shared" si="22"/>
        <v>0.3407830137218239</v>
      </c>
      <c r="AG16" s="24">
        <f t="shared" si="23"/>
        <v>0.32436199732402005</v>
      </c>
      <c r="AH16" s="24">
        <f t="shared" si="24"/>
        <v>0.30600283281861829</v>
      </c>
      <c r="AI16" s="24">
        <f t="shared" si="25"/>
        <v>0.28559909665863353</v>
      </c>
      <c r="AJ16" s="24">
        <f t="shared" si="26"/>
        <v>0.26296187550568534</v>
      </c>
      <c r="AK16" s="32">
        <f t="shared" si="27"/>
        <v>0.2374746416713393</v>
      </c>
    </row>
    <row r="17" spans="1:37" ht="16" x14ac:dyDescent="0.2">
      <c r="A17" s="258"/>
      <c r="B17" s="14" t="s">
        <v>7</v>
      </c>
      <c r="C17" s="2">
        <v>328852284.24685562</v>
      </c>
      <c r="D17" s="2">
        <v>132027716.37106758</v>
      </c>
      <c r="E17" s="4">
        <f t="shared" si="1"/>
        <v>133280715.93843314</v>
      </c>
      <c r="F17" s="18">
        <v>63543851.937354892</v>
      </c>
      <c r="G17" s="1">
        <f t="shared" si="2"/>
        <v>0.59470947193304302</v>
      </c>
      <c r="H17" s="1">
        <f t="shared" si="3"/>
        <v>0.40529052806695692</v>
      </c>
      <c r="I17" s="39">
        <f t="shared" si="6"/>
        <v>2</v>
      </c>
      <c r="J17" s="41">
        <f t="shared" si="4"/>
        <v>1.9999999799999998E-2</v>
      </c>
      <c r="K17" s="4">
        <f t="shared" si="7"/>
        <v>1270877.0260383273</v>
      </c>
      <c r="L17" s="40">
        <f t="shared" si="8"/>
        <v>0.19101206980805832</v>
      </c>
      <c r="M17" s="18">
        <f t="shared" si="9"/>
        <v>4125759.4339488102</v>
      </c>
      <c r="N17" s="40">
        <f t="shared" si="5"/>
        <v>9.0299361663160244E-2</v>
      </c>
      <c r="O17" s="16">
        <f t="shared" si="10"/>
        <v>8.4927751394540035E-2</v>
      </c>
      <c r="P17" s="18"/>
      <c r="Q17" s="18">
        <f t="shared" si="11"/>
        <v>68940488.397342026</v>
      </c>
      <c r="S17" s="14" t="s">
        <v>6</v>
      </c>
      <c r="T17" s="2">
        <v>295355339.6784091</v>
      </c>
      <c r="U17" s="31">
        <v>30753929.338460058</v>
      </c>
      <c r="V17" s="24">
        <f t="shared" si="12"/>
        <v>0.10412518484326631</v>
      </c>
      <c r="W17" s="24">
        <f t="shared" si="13"/>
        <v>0.10019235009139976</v>
      </c>
      <c r="X17" s="24">
        <f t="shared" si="14"/>
        <v>9.6044893507860885E-2</v>
      </c>
      <c r="Y17" s="24">
        <f t="shared" si="15"/>
        <v>9.1694267423147721E-2</v>
      </c>
      <c r="Z17" s="24">
        <f t="shared" si="16"/>
        <v>8.7154468095349713E-2</v>
      </c>
      <c r="AA17" s="24">
        <f t="shared" si="17"/>
        <v>8.2442352334710589E-2</v>
      </c>
      <c r="AB17" s="24">
        <f t="shared" si="18"/>
        <v>8.1378073530543174E-2</v>
      </c>
      <c r="AC17" s="24">
        <f t="shared" si="19"/>
        <v>8.1290057839812885E-2</v>
      </c>
      <c r="AD17" s="24">
        <f t="shared" si="20"/>
        <v>8.0444653901348417E-2</v>
      </c>
      <c r="AE17" s="24">
        <f t="shared" si="21"/>
        <v>7.8737881139034321E-2</v>
      </c>
      <c r="AF17" s="24">
        <f t="shared" si="22"/>
        <v>7.6068821650729063E-2</v>
      </c>
      <c r="AG17" s="24">
        <f t="shared" si="23"/>
        <v>7.2360357864556496E-2</v>
      </c>
      <c r="AH17" s="24">
        <f t="shared" si="24"/>
        <v>7.028491082904538E-2</v>
      </c>
      <c r="AI17" s="24">
        <f t="shared" si="25"/>
        <v>6.8734742431955098E-2</v>
      </c>
      <c r="AJ17" s="24">
        <f t="shared" si="26"/>
        <v>6.7263394360915274E-2</v>
      </c>
      <c r="AK17" s="32">
        <f t="shared" si="27"/>
        <v>6.583850624057079E-2</v>
      </c>
    </row>
    <row r="18" spans="1:37" ht="16" x14ac:dyDescent="0.2">
      <c r="A18" s="258"/>
      <c r="B18" s="14" t="s">
        <v>8</v>
      </c>
      <c r="C18" s="2">
        <v>910487338.83586597</v>
      </c>
      <c r="D18" s="2">
        <v>335922026.44153386</v>
      </c>
      <c r="E18" s="4">
        <f t="shared" si="1"/>
        <v>321724913.92231131</v>
      </c>
      <c r="F18" s="18">
        <v>252840398.47202086</v>
      </c>
      <c r="G18" s="1">
        <f t="shared" si="2"/>
        <v>0.64664537308814918</v>
      </c>
      <c r="H18" s="1">
        <f t="shared" si="3"/>
        <v>0.35335462691185082</v>
      </c>
      <c r="I18" s="39">
        <f t="shared" si="6"/>
        <v>2</v>
      </c>
      <c r="J18" s="41">
        <f t="shared" si="4"/>
        <v>1.9999999799999998E-2</v>
      </c>
      <c r="K18" s="4">
        <f t="shared" si="7"/>
        <v>5056807.9188723369</v>
      </c>
      <c r="L18" s="40">
        <f t="shared" si="8"/>
        <v>0.16653485336705473</v>
      </c>
      <c r="M18" s="18">
        <f>L18*VLOOKUP(I18,$G$1:$J$4,4,FALSE)</f>
        <v>3597064.5365543361</v>
      </c>
      <c r="N18" s="40">
        <f t="shared" si="5"/>
        <v>7.8727961896984902E-2</v>
      </c>
      <c r="O18" s="16">
        <f t="shared" si="10"/>
        <v>3.4226620855386379E-2</v>
      </c>
      <c r="P18" s="18"/>
      <c r="Q18" s="18">
        <f t="shared" si="11"/>
        <v>261494270.92744753</v>
      </c>
      <c r="S18" s="14" t="s">
        <v>7</v>
      </c>
      <c r="T18" s="2">
        <v>328852284.24685562</v>
      </c>
      <c r="U18" s="31">
        <v>133280715.93843317</v>
      </c>
      <c r="V18" s="24">
        <f t="shared" si="12"/>
        <v>0.40529052806695692</v>
      </c>
      <c r="W18" s="24">
        <f t="shared" si="13"/>
        <v>0.39498601983605303</v>
      </c>
      <c r="X18" s="24">
        <f t="shared" si="14"/>
        <v>0.38336819833500457</v>
      </c>
      <c r="Y18" s="24">
        <f t="shared" si="15"/>
        <v>0.37273045008710221</v>
      </c>
      <c r="Z18" s="24">
        <f t="shared" si="16"/>
        <v>0.36148388363223066</v>
      </c>
      <c r="AA18" s="24">
        <f t="shared" si="17"/>
        <v>0.34849019944672832</v>
      </c>
      <c r="AB18" s="24">
        <f t="shared" si="18"/>
        <v>0.33552453814773742</v>
      </c>
      <c r="AC18" s="24">
        <f t="shared" si="19"/>
        <v>0.32133199991009853</v>
      </c>
      <c r="AD18" s="24">
        <f t="shared" si="20"/>
        <v>0.3065492846983166</v>
      </c>
      <c r="AE18" s="24">
        <f t="shared" si="21"/>
        <v>0.29115969777094064</v>
      </c>
      <c r="AF18" s="24">
        <f t="shared" si="22"/>
        <v>0.27515109204216209</v>
      </c>
      <c r="AG18" s="24">
        <f t="shared" si="23"/>
        <v>0.25851786006866884</v>
      </c>
      <c r="AH18" s="24">
        <f t="shared" si="24"/>
        <v>0.24022696121889398</v>
      </c>
      <c r="AI18" s="24">
        <f t="shared" si="25"/>
        <v>0.22027273978467643</v>
      </c>
      <c r="AJ18" s="24">
        <f t="shared" si="26"/>
        <v>0.19859709687529511</v>
      </c>
      <c r="AK18" s="32">
        <f t="shared" si="27"/>
        <v>0.1747827312767733</v>
      </c>
    </row>
    <row r="19" spans="1:37" ht="16" x14ac:dyDescent="0.2">
      <c r="A19" s="258"/>
      <c r="B19" s="14" t="s">
        <v>9</v>
      </c>
      <c r="C19" s="2">
        <v>92705416.600463837</v>
      </c>
      <c r="D19" s="2">
        <v>39968047.212658465</v>
      </c>
      <c r="E19" s="4">
        <f t="shared" si="1"/>
        <v>27802727.782648679</v>
      </c>
      <c r="F19" s="18">
        <v>24934641.605156694</v>
      </c>
      <c r="G19" s="1">
        <f t="shared" si="2"/>
        <v>0.70009597279012103</v>
      </c>
      <c r="H19" s="1">
        <f t="shared" si="3"/>
        <v>0.29990402720987902</v>
      </c>
      <c r="I19" s="39">
        <f t="shared" si="6"/>
        <v>2</v>
      </c>
      <c r="J19" s="41">
        <f t="shared" si="4"/>
        <v>1.9999999799999998E-2</v>
      </c>
      <c r="K19" s="4">
        <f t="shared" si="7"/>
        <v>498692.82711620547</v>
      </c>
      <c r="L19" s="40">
        <f t="shared" si="8"/>
        <v>0.14134376456897429</v>
      </c>
      <c r="M19" s="18">
        <f t="shared" si="9"/>
        <v>3052950.3747395319</v>
      </c>
      <c r="N19" s="40">
        <f t="shared" si="5"/>
        <v>6.6819084932547734E-2</v>
      </c>
      <c r="O19" s="16">
        <f t="shared" si="10"/>
        <v>0.14243810912129684</v>
      </c>
      <c r="P19" s="18"/>
      <c r="Q19" s="18">
        <f t="shared" si="11"/>
        <v>28486284.807012431</v>
      </c>
      <c r="S19" s="14" t="s">
        <v>8</v>
      </c>
      <c r="T19" s="2">
        <v>910487338.83586597</v>
      </c>
      <c r="U19" s="31">
        <v>321724913.92231131</v>
      </c>
      <c r="V19" s="24">
        <f t="shared" si="12"/>
        <v>0.35335462691185082</v>
      </c>
      <c r="W19" s="24">
        <f t="shared" si="13"/>
        <v>0.35221508941034618</v>
      </c>
      <c r="X19" s="24">
        <f t="shared" si="14"/>
        <v>0.35054403960444597</v>
      </c>
      <c r="Y19" s="24">
        <f t="shared" si="15"/>
        <v>0.34906436101162658</v>
      </c>
      <c r="Z19" s="24">
        <f t="shared" si="16"/>
        <v>0.34725647366460854</v>
      </c>
      <c r="AA19" s="24">
        <f t="shared" si="17"/>
        <v>0.34470491138677367</v>
      </c>
      <c r="AB19" s="24">
        <f t="shared" si="18"/>
        <v>0.34198564157025119</v>
      </c>
      <c r="AC19" s="24">
        <f t="shared" si="19"/>
        <v>0.33862731937903673</v>
      </c>
      <c r="AD19" s="24">
        <f t="shared" si="20"/>
        <v>0.3348154475756599</v>
      </c>
      <c r="AE19" s="24">
        <f t="shared" si="21"/>
        <v>0.33050231471135877</v>
      </c>
      <c r="AF19" s="24">
        <f t="shared" si="22"/>
        <v>0.32563352245824978</v>
      </c>
      <c r="AG19" s="24">
        <f t="shared" si="23"/>
        <v>0.32014691038821647</v>
      </c>
      <c r="AH19" s="24">
        <f t="shared" si="24"/>
        <v>0.31350765319463114</v>
      </c>
      <c r="AI19" s="24">
        <f t="shared" si="25"/>
        <v>0.30554531632013732</v>
      </c>
      <c r="AJ19" s="24">
        <f t="shared" si="26"/>
        <v>0.29600614063919045</v>
      </c>
      <c r="AK19" s="32">
        <f t="shared" si="27"/>
        <v>0.2843486204736248</v>
      </c>
    </row>
    <row r="20" spans="1:37" ht="16" x14ac:dyDescent="0.2">
      <c r="A20" s="258"/>
      <c r="B20" s="14" t="s">
        <v>10</v>
      </c>
      <c r="C20" s="2">
        <v>1243404655.6066542</v>
      </c>
      <c r="D20" s="2">
        <v>824429294.57622814</v>
      </c>
      <c r="E20" s="4">
        <f t="shared" si="1"/>
        <v>110876434.44093692</v>
      </c>
      <c r="F20" s="18">
        <v>308098926.5894891</v>
      </c>
      <c r="G20" s="1">
        <f t="shared" si="2"/>
        <v>0.91082835829753217</v>
      </c>
      <c r="H20" s="1">
        <f t="shared" si="3"/>
        <v>8.9171641702467788E-2</v>
      </c>
      <c r="I20" s="39">
        <f t="shared" si="6"/>
        <v>1</v>
      </c>
      <c r="J20" s="41">
        <f t="shared" si="4"/>
        <v>1.9999999799999998E-2</v>
      </c>
      <c r="K20" s="4">
        <f t="shared" si="7"/>
        <v>6161978.4701699959</v>
      </c>
      <c r="L20" s="40">
        <f t="shared" si="8"/>
        <v>0.46131973967699746</v>
      </c>
      <c r="M20" s="18">
        <f t="shared" si="9"/>
        <v>2186387.5136796371</v>
      </c>
      <c r="N20" s="40">
        <f t="shared" si="5"/>
        <v>4.7852861998939525E-2</v>
      </c>
      <c r="O20" s="16">
        <f t="shared" si="10"/>
        <v>2.7096381270334619E-2</v>
      </c>
      <c r="P20" s="18"/>
      <c r="Q20" s="18">
        <f t="shared" si="11"/>
        <v>316447292.57333875</v>
      </c>
      <c r="S20" s="14" t="s">
        <v>9</v>
      </c>
      <c r="T20" s="2">
        <v>92705416.600463837</v>
      </c>
      <c r="U20" s="31">
        <v>27802727.782648683</v>
      </c>
      <c r="V20" s="24">
        <f t="shared" si="12"/>
        <v>0.29990402720987902</v>
      </c>
      <c r="W20" s="24">
        <f t="shared" si="13"/>
        <v>0.2705427915244995</v>
      </c>
      <c r="X20" s="24">
        <f t="shared" si="14"/>
        <v>0.24041033650483154</v>
      </c>
      <c r="Y20" s="24">
        <f t="shared" si="15"/>
        <v>0.2152889269783434</v>
      </c>
      <c r="Z20" s="24">
        <f t="shared" si="16"/>
        <v>0.19118710002308056</v>
      </c>
      <c r="AA20" s="24">
        <f t="shared" si="17"/>
        <v>0.16615835164947887</v>
      </c>
      <c r="AB20" s="24">
        <f t="shared" si="18"/>
        <v>0.14403337097935767</v>
      </c>
      <c r="AC20" s="24">
        <f t="shared" si="19"/>
        <v>0.12127057140068843</v>
      </c>
      <c r="AD20" s="24">
        <f t="shared" si="20"/>
        <v>9.9349660556982786E-2</v>
      </c>
      <c r="AE20" s="24">
        <f t="shared" si="21"/>
        <v>7.874187947164156E-2</v>
      </c>
      <c r="AF20" s="24">
        <f t="shared" si="22"/>
        <v>6.0003206837283225E-2</v>
      </c>
      <c r="AG20" s="24">
        <f t="shared" si="23"/>
        <v>4.3732740820432082E-2</v>
      </c>
      <c r="AH20" s="24">
        <f t="shared" si="24"/>
        <v>3.5654564263718096E-2</v>
      </c>
      <c r="AI20" s="24">
        <f t="shared" si="25"/>
        <v>3.0587921456223709E-2</v>
      </c>
      <c r="AJ20" s="24">
        <f t="shared" si="26"/>
        <v>2.691832846833913E-2</v>
      </c>
      <c r="AK20" s="32">
        <f t="shared" si="27"/>
        <v>2.4221340963810279E-2</v>
      </c>
    </row>
    <row r="21" spans="1:37" ht="16" x14ac:dyDescent="0.2">
      <c r="A21" s="258"/>
      <c r="B21" s="14" t="s">
        <v>11</v>
      </c>
      <c r="C21" s="2">
        <v>195405555.48763829</v>
      </c>
      <c r="D21" s="2">
        <v>68262374.75193283</v>
      </c>
      <c r="E21" s="4">
        <f t="shared" si="1"/>
        <v>75892247.402372122</v>
      </c>
      <c r="F21" s="18">
        <v>51250933.333333336</v>
      </c>
      <c r="G21" s="1">
        <f t="shared" si="2"/>
        <v>0.61161673621314616</v>
      </c>
      <c r="H21" s="1">
        <f t="shared" si="3"/>
        <v>0.38838326378685378</v>
      </c>
      <c r="I21" s="39">
        <f t="shared" si="6"/>
        <v>2</v>
      </c>
      <c r="J21" s="41">
        <f t="shared" si="4"/>
        <v>1.9999999799999998E-2</v>
      </c>
      <c r="K21" s="4">
        <f t="shared" si="7"/>
        <v>1025018.65641648</v>
      </c>
      <c r="L21" s="40">
        <f t="shared" si="8"/>
        <v>0.18304373272320837</v>
      </c>
      <c r="M21" s="18">
        <f t="shared" si="9"/>
        <v>3953647.5776994154</v>
      </c>
      <c r="N21" s="40">
        <f t="shared" si="5"/>
        <v>8.6532396816373994E-2</v>
      </c>
      <c r="O21" s="16">
        <f t="shared" si="10"/>
        <v>9.7142937899977647E-2</v>
      </c>
      <c r="P21" s="18"/>
      <c r="Q21" s="18">
        <f t="shared" si="11"/>
        <v>56229599.567449227</v>
      </c>
      <c r="S21" s="14" t="s">
        <v>10</v>
      </c>
      <c r="T21" s="2">
        <v>1243404655.6066542</v>
      </c>
      <c r="U21" s="31">
        <v>110876434.4409368</v>
      </c>
      <c r="V21" s="24">
        <f t="shared" si="12"/>
        <v>8.9171641702467788E-2</v>
      </c>
      <c r="W21" s="24">
        <f t="shared" si="13"/>
        <v>8.9870163657013183E-2</v>
      </c>
      <c r="X21" s="24">
        <f t="shared" si="14"/>
        <v>9.0427130496706504E-2</v>
      </c>
      <c r="Y21" s="24">
        <f t="shared" si="15"/>
        <v>9.0832798806574466E-2</v>
      </c>
      <c r="Z21" s="24">
        <f t="shared" si="16"/>
        <v>9.1076417994125414E-2</v>
      </c>
      <c r="AA21" s="24">
        <f t="shared" si="17"/>
        <v>9.1146121737064253E-2</v>
      </c>
      <c r="AB21" s="24">
        <f t="shared" si="18"/>
        <v>9.2026777440956165E-2</v>
      </c>
      <c r="AC21" s="24">
        <f t="shared" si="19"/>
        <v>9.3123917686807389E-2</v>
      </c>
      <c r="AD21" s="24">
        <f t="shared" si="20"/>
        <v>9.3987401708186161E-2</v>
      </c>
      <c r="AE21" s="24">
        <f t="shared" si="21"/>
        <v>9.4571276828177966E-2</v>
      </c>
      <c r="AF21" s="24">
        <f t="shared" si="22"/>
        <v>9.4820467693961755E-2</v>
      </c>
      <c r="AG21" s="24">
        <f t="shared" si="23"/>
        <v>9.4672241023309137E-2</v>
      </c>
      <c r="AH21" s="24">
        <f t="shared" si="24"/>
        <v>9.4897803574932965E-2</v>
      </c>
      <c r="AI21" s="24">
        <f t="shared" si="25"/>
        <v>9.5215164237253402E-2</v>
      </c>
      <c r="AJ21" s="24">
        <f t="shared" si="26"/>
        <v>9.5497631828917393E-2</v>
      </c>
      <c r="AK21" s="32">
        <f t="shared" si="27"/>
        <v>9.5736788284971883E-2</v>
      </c>
    </row>
    <row r="22" spans="1:37" x14ac:dyDescent="0.2">
      <c r="A22" s="258"/>
      <c r="B22" s="14"/>
      <c r="C22" s="2"/>
      <c r="E22" s="4"/>
      <c r="G22" s="1"/>
      <c r="H22" s="1"/>
      <c r="I22" s="39"/>
      <c r="J22" s="39"/>
      <c r="K22" s="39"/>
      <c r="L22" s="39"/>
      <c r="M22" s="39"/>
      <c r="N22" s="39"/>
      <c r="O22" s="16"/>
      <c r="P22" s="16"/>
      <c r="Q22" s="16"/>
      <c r="S22" s="14" t="s">
        <v>11</v>
      </c>
      <c r="T22" s="2">
        <v>195405555.48763829</v>
      </c>
      <c r="U22" s="31">
        <v>75892247.402372122</v>
      </c>
      <c r="V22" s="24">
        <f t="shared" si="12"/>
        <v>0.38838326378685378</v>
      </c>
      <c r="W22" s="24">
        <f t="shared" si="13"/>
        <v>0.37128594585967761</v>
      </c>
      <c r="X22" s="24">
        <f t="shared" si="14"/>
        <v>0.35249361174865651</v>
      </c>
      <c r="Y22" s="24">
        <f t="shared" si="15"/>
        <v>0.33569548100439667</v>
      </c>
      <c r="Z22" s="24">
        <f t="shared" si="16"/>
        <v>0.31838432659889343</v>
      </c>
      <c r="AA22" s="24">
        <f t="shared" si="17"/>
        <v>0.29893904272485106</v>
      </c>
      <c r="AB22" s="24">
        <f t="shared" si="18"/>
        <v>0.28013184536413227</v>
      </c>
      <c r="AC22" s="24">
        <f t="shared" si="19"/>
        <v>0.26019986239643711</v>
      </c>
      <c r="AD22" s="24">
        <f t="shared" si="20"/>
        <v>0.24017822098569563</v>
      </c>
      <c r="AE22" s="24">
        <f t="shared" si="21"/>
        <v>0.22013388758819991</v>
      </c>
      <c r="AF22" s="24">
        <f t="shared" si="22"/>
        <v>0.2001477183589328</v>
      </c>
      <c r="AG22" s="24">
        <f t="shared" si="23"/>
        <v>0.18031637678306117</v>
      </c>
      <c r="AH22" s="24">
        <f t="shared" si="24"/>
        <v>0.15953744759132216</v>
      </c>
      <c r="AI22" s="24">
        <f t="shared" si="25"/>
        <v>0.13811605683181713</v>
      </c>
      <c r="AJ22" s="24">
        <f t="shared" si="26"/>
        <v>0.12403590353428022</v>
      </c>
      <c r="AK22" s="32">
        <f t="shared" si="27"/>
        <v>0.11175046564152988</v>
      </c>
    </row>
    <row r="23" spans="1:37" x14ac:dyDescent="0.2">
      <c r="A23" s="258"/>
      <c r="B23" s="15" t="s">
        <v>14</v>
      </c>
      <c r="C23" s="30">
        <f>SUM(C10:C21)</f>
        <v>4467075684.9250851</v>
      </c>
      <c r="D23" s="30">
        <f>SUM(D10:D21)</f>
        <v>1959460359.4212189</v>
      </c>
      <c r="E23" s="30">
        <f>SUM(E10:E21)</f>
        <v>1365370425.5038664</v>
      </c>
      <c r="F23" s="30">
        <f>SUM(F10:F21)</f>
        <v>1142244899.9999998</v>
      </c>
      <c r="G23" s="11">
        <f>1-H23</f>
        <v>0.69434804292402208</v>
      </c>
      <c r="H23" s="11">
        <f>MAX(0,E23/C23)</f>
        <v>0.30565195707597786</v>
      </c>
      <c r="I23" s="11"/>
      <c r="J23" s="11"/>
      <c r="K23" s="30">
        <f>SUM(K10:K21)</f>
        <v>22844897.771551017</v>
      </c>
      <c r="L23" s="11"/>
      <c r="M23" s="30">
        <f>SUM(M10:M21)</f>
        <v>45689796.228448987</v>
      </c>
      <c r="N23" s="11"/>
      <c r="O23" s="16"/>
      <c r="P23" s="16"/>
      <c r="Q23" s="30">
        <f>SUM(Q10:Q21)</f>
        <v>1210779594.0000002</v>
      </c>
      <c r="S23" s="15" t="s">
        <v>14</v>
      </c>
      <c r="T23" s="33">
        <f>SUM(T11:T22)</f>
        <v>4467075684.9250851</v>
      </c>
      <c r="U23" s="33">
        <f>SUM(U11:U22)</f>
        <v>1365370425.5038662</v>
      </c>
      <c r="V23" s="50">
        <f>VLOOKUP($S23,$B$9:$Q$23,7,FALSE)</f>
        <v>0.30565195707597786</v>
      </c>
      <c r="W23" s="50">
        <f>VLOOKUP($S23,$B$35:$Q$49,7,FALSE)</f>
        <v>0.29820429527693737</v>
      </c>
      <c r="X23" s="50">
        <f>VLOOKUP($S23,$B$61:$Q$75,7,FALSE)</f>
        <v>0.29053971128957534</v>
      </c>
      <c r="Y23" s="50">
        <f>VLOOKUP($S23,$B$87:$Q$101,7,FALSE)</f>
        <v>0.28265188699190191</v>
      </c>
      <c r="Z23" s="50">
        <f>VLOOKUP($S23,$B$113:$Q$127,7,FALSE)</f>
        <v>0.2745343202389563</v>
      </c>
      <c r="AA23" s="50">
        <f>VLOOKUP($S23,$B$139:$Q$153,7,FALSE)</f>
        <v>0.26618031950291526</v>
      </c>
      <c r="AB23" s="50">
        <f>VLOOKUP($S23,$B$165:$Q$179,7,FALSE)</f>
        <v>0.25758299835708653</v>
      </c>
      <c r="AC23" s="50">
        <f>VLOOKUP($S23,$B$191:$Q$205,7,FALSE)</f>
        <v>0.24873526979924351</v>
      </c>
      <c r="AD23" s="50">
        <f>VLOOKUP($S23,$B$217:$Q$231,7,FALSE)</f>
        <v>0.23962984040961857</v>
      </c>
      <c r="AE23" s="50">
        <f>VLOOKUP($S23,$B$243:$Q$257,7,FALSE)</f>
        <v>0.23025920433874242</v>
      </c>
      <c r="AF23" s="50">
        <f>VLOOKUP($S23,$B$269:$Q$283,7,FALSE)</f>
        <v>0.22061563712017082</v>
      </c>
      <c r="AG23" s="50">
        <f>VLOOKUP($S23,$B$295:$Q$309,7,FALSE)</f>
        <v>0.21069118930300013</v>
      </c>
      <c r="AH23" s="50">
        <f>VLOOKUP($S23,$B$321:$Q$335,7,FALSE)</f>
        <v>0.20047767989892151</v>
      </c>
      <c r="AI23" s="50">
        <f t="shared" si="25"/>
        <v>0.18996668963841337</v>
      </c>
      <c r="AJ23" s="50">
        <f t="shared" si="26"/>
        <v>0.17914955403051183</v>
      </c>
      <c r="AK23" s="51">
        <f t="shared" si="27"/>
        <v>0.16801735622043848</v>
      </c>
    </row>
    <row r="24" spans="1:37" x14ac:dyDescent="0.2">
      <c r="G24" s="21">
        <f>SUM(G10:G21)</f>
        <v>7.6133906705016967</v>
      </c>
      <c r="H24" s="21">
        <f>SUM(H10:H21)</f>
        <v>4.3866093294983033</v>
      </c>
      <c r="I24" s="21"/>
      <c r="J24" s="21"/>
      <c r="K24" s="21"/>
      <c r="L24" s="21"/>
      <c r="M24" s="21"/>
      <c r="N24" s="21"/>
      <c r="O24" s="21"/>
      <c r="P24" s="21"/>
      <c r="Q24" s="21"/>
    </row>
    <row r="27" spans="1:37" ht="48" x14ac:dyDescent="0.2">
      <c r="A27" s="250">
        <v>1</v>
      </c>
      <c r="B27" t="s">
        <v>26</v>
      </c>
      <c r="C27" s="4">
        <f>'Opt 3 - Tier Allocation'!C2</f>
        <v>1210779593.9999998</v>
      </c>
      <c r="D27" s="4"/>
      <c r="F27" s="48" t="s">
        <v>68</v>
      </c>
      <c r="G27" s="47" t="s">
        <v>62</v>
      </c>
      <c r="H27" s="48" t="s">
        <v>55</v>
      </c>
      <c r="I27" s="48" t="s">
        <v>54</v>
      </c>
      <c r="J27" s="48" t="s">
        <v>56</v>
      </c>
    </row>
    <row r="28" spans="1:37" x14ac:dyDescent="0.2">
      <c r="A28" s="250"/>
      <c r="B28" t="s">
        <v>27</v>
      </c>
      <c r="C28" s="6">
        <f>C27*(1+C29)</f>
        <v>1283426369.6399999</v>
      </c>
      <c r="D28" s="6"/>
      <c r="F28" t="s">
        <v>53</v>
      </c>
      <c r="G28" s="7">
        <v>1</v>
      </c>
      <c r="H28" s="4">
        <f>SUMIF(I$36:I$47,G28,E$36:E$47)</f>
        <v>145577445.25025615</v>
      </c>
      <c r="I28" s="1">
        <f>H28/SUM(H$28:H$30)</f>
        <v>0.1061010455462844</v>
      </c>
      <c r="J28" s="6">
        <f>($C$31-$K$49)*I28</f>
        <v>5138599.2596732369</v>
      </c>
      <c r="K28" s="1"/>
      <c r="M28" s="6"/>
      <c r="N28" s="6"/>
    </row>
    <row r="29" spans="1:37" ht="19" x14ac:dyDescent="0.25">
      <c r="A29" s="250"/>
      <c r="B29" t="s">
        <v>28</v>
      </c>
      <c r="C29" s="19">
        <f>$C$3</f>
        <v>0.06</v>
      </c>
      <c r="D29" s="19"/>
      <c r="F29" s="38" t="s">
        <v>69</v>
      </c>
      <c r="G29" s="7">
        <v>2</v>
      </c>
      <c r="H29" s="4">
        <f>SUMIF(I$36:I$47,G29,E$36:E$47)</f>
        <v>837969345.72103965</v>
      </c>
      <c r="I29" s="1">
        <f>H29/SUM(H$28:H$30)</f>
        <v>0.61073625494593387</v>
      </c>
      <c r="J29" s="6">
        <f>($C$31-$K$49)*I29</f>
        <v>29578679.940074198</v>
      </c>
      <c r="K29" s="1"/>
      <c r="M29" s="6"/>
      <c r="N29" s="6"/>
      <c r="S29" s="12" t="s">
        <v>67</v>
      </c>
    </row>
    <row r="30" spans="1:37" ht="16" x14ac:dyDescent="0.2">
      <c r="A30" s="250"/>
      <c r="B30" t="s">
        <v>16</v>
      </c>
      <c r="C30" s="20">
        <f>$C$4</f>
        <v>0.03</v>
      </c>
      <c r="D30" s="20"/>
      <c r="F30" t="s">
        <v>70</v>
      </c>
      <c r="G30" s="7">
        <v>3</v>
      </c>
      <c r="H30" s="4">
        <f>SUMIF(I$36:I$47,G30,E$36:E$47)</f>
        <v>388517400.29768628</v>
      </c>
      <c r="I30" s="1">
        <f>H30/SUM(H$28:H$30)</f>
        <v>0.28316269950778167</v>
      </c>
      <c r="J30" s="6">
        <f>($C$31-$K$49)*I30</f>
        <v>13713904.802408589</v>
      </c>
      <c r="K30" s="1"/>
      <c r="M30" s="6"/>
      <c r="N30" s="6"/>
      <c r="S30" s="22" t="s">
        <v>12</v>
      </c>
      <c r="T30" s="13" t="s">
        <v>15</v>
      </c>
      <c r="U30" s="13" t="s">
        <v>13</v>
      </c>
      <c r="V30" s="13" t="s">
        <v>37</v>
      </c>
      <c r="W30" s="13" t="s">
        <v>35</v>
      </c>
      <c r="X30" s="13" t="s">
        <v>36</v>
      </c>
      <c r="Y30" s="13" t="s">
        <v>38</v>
      </c>
      <c r="Z30" s="13" t="s">
        <v>39</v>
      </c>
      <c r="AA30" s="13" t="s">
        <v>40</v>
      </c>
      <c r="AB30" s="13" t="s">
        <v>41</v>
      </c>
      <c r="AC30" s="13" t="s">
        <v>42</v>
      </c>
      <c r="AD30" s="13" t="s">
        <v>43</v>
      </c>
      <c r="AE30" s="13" t="s">
        <v>44</v>
      </c>
      <c r="AF30" s="13" t="s">
        <v>45</v>
      </c>
      <c r="AG30" s="13" t="s">
        <v>46</v>
      </c>
      <c r="AH30" s="23" t="s">
        <v>47</v>
      </c>
      <c r="AI30" s="13" t="s">
        <v>75</v>
      </c>
      <c r="AJ30" s="54" t="s">
        <v>76</v>
      </c>
      <c r="AK30" s="55" t="s">
        <v>77</v>
      </c>
    </row>
    <row r="31" spans="1:37" x14ac:dyDescent="0.2">
      <c r="A31" s="250"/>
      <c r="B31" t="s">
        <v>31</v>
      </c>
      <c r="C31" s="6">
        <f>C28-C27</f>
        <v>72646775.640000105</v>
      </c>
      <c r="D31" s="6"/>
      <c r="S31" s="14" t="s">
        <v>0</v>
      </c>
      <c r="T31" s="2">
        <v>74061017.606188729</v>
      </c>
      <c r="U31" s="31">
        <v>20012870.843441181</v>
      </c>
      <c r="V31" s="63">
        <f>VLOOKUP(S31,$B$9:$Q$21,14,FALSE)</f>
        <v>8.9652141322266982E-2</v>
      </c>
      <c r="W31" s="63">
        <f>VLOOKUP($S31,$B$35:$Q$47,14,FALSE)</f>
        <v>8.6778767271501911E-2</v>
      </c>
      <c r="X31" s="63">
        <f>VLOOKUP($S31,$B$61:$Q$73,14,FALSE)</f>
        <v>7.3115549279513331E-2</v>
      </c>
      <c r="Y31" s="63">
        <f>VLOOKUP($S31,$B$87:$Q$99,14,FALSE)</f>
        <v>6.874530904819233E-2</v>
      </c>
      <c r="Z31" s="63">
        <f>VLOOKUP($S31,$B$113:$Q$125,14,FALSE)</f>
        <v>6.8115367040099559E-2</v>
      </c>
      <c r="AA31" s="63">
        <f>VLOOKUP($S31,$B$139:$Q$151,14,FALSE)</f>
        <v>7.8306856159211791E-2</v>
      </c>
      <c r="AB31" s="63">
        <f>VLOOKUP($S31,$B$165:$Q$177,14,FALSE)</f>
        <v>5.6136368043662836E-2</v>
      </c>
      <c r="AC31" s="63">
        <f>VLOOKUP($S31,$B$191:$Q$203,14,FALSE)</f>
        <v>5.3979801260997259E-2</v>
      </c>
      <c r="AD31" s="63">
        <f>VLOOKUP($S31,$B$217:$Q$229,14,FALSE)</f>
        <v>5.1405118290858962E-2</v>
      </c>
      <c r="AE31" s="63">
        <f>VLOOKUP($S31,$B$243:$Q$255,14,FALSE)</f>
        <v>4.8410479004775873E-2</v>
      </c>
      <c r="AF31" s="59">
        <f>VLOOKUP($S31,$B$269:$Q$281,14,FALSE)</f>
        <v>4.5060943967229011E-2</v>
      </c>
      <c r="AG31" s="59">
        <f>VLOOKUP($S31,$B$295:$Q$307,14,FALSE)</f>
        <v>3.5454195659475655E-2</v>
      </c>
      <c r="AH31" s="59">
        <f>VLOOKUP($S31,$B$321:$Q$333,14,FALSE)</f>
        <v>3.2707358832946107E-2</v>
      </c>
      <c r="AI31" s="24">
        <f>VLOOKUP($S31,$B$347:$Q$361,14,FALSE)</f>
        <v>3.1846497870563581E-2</v>
      </c>
      <c r="AJ31" s="24">
        <f>VLOOKUP($S31,$B$373:$Q$385,14,FALSE)</f>
        <v>3.1339855175909238E-2</v>
      </c>
      <c r="AK31" s="24">
        <f>VLOOKUP($S31,$B$399:$Q$411,14,FALSE)</f>
        <v>3.2481839206377677E-2</v>
      </c>
    </row>
    <row r="32" spans="1:37" x14ac:dyDescent="0.2">
      <c r="A32" s="250"/>
      <c r="B32" t="s">
        <v>59</v>
      </c>
      <c r="C32" s="16">
        <f>$C$7</f>
        <v>0.66666665999999997</v>
      </c>
      <c r="D32" s="16"/>
      <c r="S32" s="14" t="s">
        <v>1</v>
      </c>
      <c r="T32" s="2">
        <v>164966421.92469403</v>
      </c>
      <c r="U32" s="31">
        <v>66753996.300633356</v>
      </c>
      <c r="V32" s="63">
        <f t="shared" ref="V32:V42" si="28">VLOOKUP(S32,$B$9:$Q$21,14,FALSE)</f>
        <v>0.11584317040715748</v>
      </c>
      <c r="W32" s="63">
        <f t="shared" ref="W32:W42" si="29">VLOOKUP($S32,$B$35:$Q$47,14,FALSE)</f>
        <v>0.11587486243567381</v>
      </c>
      <c r="X32" s="63">
        <f t="shared" ref="X32:X42" si="30">VLOOKUP($S32,$B$61:$Q$73,14,FALSE)</f>
        <v>0.10011578985074979</v>
      </c>
      <c r="Y32" s="63">
        <f t="shared" ref="Y32:Y42" si="31">VLOOKUP($S32,$B$87:$Q$99,14,FALSE)</f>
        <v>9.6748964174784666E-2</v>
      </c>
      <c r="Z32" s="63">
        <f t="shared" ref="Z32:Z42" si="32">VLOOKUP($S32,$B$113:$Q$125,14,FALSE)</f>
        <v>9.9299092459208843E-2</v>
      </c>
      <c r="AA32" s="63">
        <f t="shared" ref="AA32:AA42" si="33">VLOOKUP($S32,$B$139:$Q$151,14,FALSE)</f>
        <v>9.1847630223069396E-2</v>
      </c>
      <c r="AB32" s="63">
        <f t="shared" ref="AB32:AB42" si="34">VLOOKUP($S32,$B$165:$Q$177,14,FALSE)</f>
        <v>9.077868399260669E-2</v>
      </c>
      <c r="AC32" s="63">
        <f t="shared" ref="AC32:AC42" si="35">VLOOKUP($S32,$B$191:$Q$203,14,FALSE)</f>
        <v>8.6599095282229754E-2</v>
      </c>
      <c r="AD32" s="63">
        <f t="shared" ref="AD32:AD42" si="36">VLOOKUP($S32,$B$217:$Q$229,14,FALSE)</f>
        <v>8.2657988590527295E-2</v>
      </c>
      <c r="AE32" s="63">
        <f t="shared" ref="AE32:AE42" si="37">VLOOKUP($S32,$B$243:$Q$255,14,FALSE)</f>
        <v>7.8893236504626443E-2</v>
      </c>
      <c r="AF32" s="59">
        <f t="shared" ref="AF32:AF42" si="38">VLOOKUP($S32,$B$269:$Q$281,14,FALSE)</f>
        <v>7.5252408378534558E-2</v>
      </c>
      <c r="AG32" s="59">
        <f t="shared" ref="AG32:AG42" si="39">VLOOKUP($S32,$B$295:$Q$307,14,FALSE)</f>
        <v>7.4297938974233632E-2</v>
      </c>
      <c r="AH32" s="59">
        <f t="shared" ref="AH32:AH42" si="40">VLOOKUP($S32,$B$321:$Q$333,14,FALSE)</f>
        <v>6.3624525797640941E-2</v>
      </c>
      <c r="AI32" s="24">
        <f t="shared" ref="AI32:AI42" si="41">VLOOKUP($S32,$B$347:$Q$361,14,FALSE)</f>
        <v>5.7441943029356471E-2</v>
      </c>
      <c r="AJ32" s="24">
        <f t="shared" ref="AJ32:AJ42" si="42">VLOOKUP($S32,$B$373:$Q$385,14,FALSE)</f>
        <v>5.263576566417115E-2</v>
      </c>
      <c r="AK32" s="24">
        <f t="shared" ref="AK32:AK42" si="43">VLOOKUP($S32,$B$399:$Q$411,14,FALSE)</f>
        <v>5.2563612332205079E-2</v>
      </c>
    </row>
    <row r="33" spans="1:37" x14ac:dyDescent="0.2">
      <c r="A33" s="250"/>
      <c r="B33" t="s">
        <v>48</v>
      </c>
      <c r="C33" s="20">
        <f>((1+$C$4)^A27)-1</f>
        <v>3.0000000000000027E-2</v>
      </c>
      <c r="D33" s="16"/>
      <c r="S33" s="14" t="s">
        <v>2</v>
      </c>
      <c r="T33" s="2">
        <v>111850437.83915582</v>
      </c>
      <c r="U33" s="31">
        <v>59635517.784009442</v>
      </c>
      <c r="V33" s="63">
        <f t="shared" si="28"/>
        <v>0.22781336124112017</v>
      </c>
      <c r="W33" s="63">
        <f t="shared" si="29"/>
        <v>0.16967054210315072</v>
      </c>
      <c r="X33" s="63">
        <f t="shared" si="30"/>
        <v>0.17852020082946174</v>
      </c>
      <c r="Y33" s="63">
        <f t="shared" si="31"/>
        <v>0.15671053612699867</v>
      </c>
      <c r="Z33" s="63">
        <f t="shared" si="32"/>
        <v>0.14882456207591471</v>
      </c>
      <c r="AA33" s="63">
        <f t="shared" si="33"/>
        <v>0.12673987721779012</v>
      </c>
      <c r="AB33" s="63">
        <f t="shared" si="34"/>
        <v>0.11727556780041606</v>
      </c>
      <c r="AC33" s="63">
        <f t="shared" si="35"/>
        <v>0.10484457986918556</v>
      </c>
      <c r="AD33" s="63">
        <f t="shared" si="36"/>
        <v>9.427607776706054E-2</v>
      </c>
      <c r="AE33" s="63">
        <f t="shared" si="37"/>
        <v>8.5109089302032731E-2</v>
      </c>
      <c r="AF33" s="59">
        <f t="shared" si="38"/>
        <v>7.7031998679439995E-2</v>
      </c>
      <c r="AG33" s="59">
        <f t="shared" si="39"/>
        <v>7.3234056715891699E-2</v>
      </c>
      <c r="AH33" s="59">
        <f t="shared" si="40"/>
        <v>5.8835394019500581E-2</v>
      </c>
      <c r="AI33" s="24">
        <f>VLOOKUP($S33,$B$347:$Q$361,14,FALSE)</f>
        <v>5.1479827292021545E-2</v>
      </c>
      <c r="AJ33" s="24">
        <f t="shared" si="42"/>
        <v>4.6193536601192353E-2</v>
      </c>
      <c r="AK33" s="24">
        <f t="shared" si="43"/>
        <v>4.5218911872916913E-2</v>
      </c>
    </row>
    <row r="34" spans="1:37" x14ac:dyDescent="0.2">
      <c r="A34" s="250"/>
      <c r="S34" s="14" t="s">
        <v>3</v>
      </c>
      <c r="T34" s="2">
        <v>477796928.12292886</v>
      </c>
      <c r="U34" s="31">
        <v>234399775.04964375</v>
      </c>
      <c r="V34" s="63">
        <f t="shared" si="28"/>
        <v>8.3679208190418783E-2</v>
      </c>
      <c r="W34" s="63">
        <f t="shared" si="29"/>
        <v>7.5407853114954723E-2</v>
      </c>
      <c r="X34" s="63">
        <f t="shared" si="30"/>
        <v>9.0092935407564675E-2</v>
      </c>
      <c r="Y34" s="63">
        <f t="shared" si="31"/>
        <v>8.9418148718946988E-2</v>
      </c>
      <c r="Z34" s="63">
        <f t="shared" si="32"/>
        <v>9.3848725761259327E-2</v>
      </c>
      <c r="AA34" s="63">
        <f t="shared" si="33"/>
        <v>9.0765884253541054E-2</v>
      </c>
      <c r="AB34" s="63">
        <f t="shared" si="34"/>
        <v>9.3534151962894801E-2</v>
      </c>
      <c r="AC34" s="63">
        <f t="shared" si="35"/>
        <v>9.3225099598145025E-2</v>
      </c>
      <c r="AD34" s="63">
        <f t="shared" si="36"/>
        <v>9.2985330737783103E-2</v>
      </c>
      <c r="AE34" s="63">
        <f t="shared" si="37"/>
        <v>9.2803365662009793E-2</v>
      </c>
      <c r="AF34" s="59">
        <f t="shared" si="38"/>
        <v>9.2666221477379893E-2</v>
      </c>
      <c r="AG34" s="59">
        <f t="shared" si="39"/>
        <v>9.6217740598741427E-2</v>
      </c>
      <c r="AH34" s="59">
        <f t="shared" si="40"/>
        <v>9.9459951025865342E-2</v>
      </c>
      <c r="AI34" s="24">
        <f t="shared" si="41"/>
        <v>0.10266460575357086</v>
      </c>
      <c r="AJ34" s="24">
        <f t="shared" si="42"/>
        <v>0.10706681752043537</v>
      </c>
      <c r="AK34" s="24">
        <f>VLOOKUP($S34,$B$399:$Q$411,14,FALSE)</f>
        <v>0.1023700048660403</v>
      </c>
    </row>
    <row r="35" spans="1:37" ht="49" thickBot="1" x14ac:dyDescent="0.25">
      <c r="A35" s="258" t="s">
        <v>51</v>
      </c>
      <c r="B35" s="22" t="s">
        <v>12</v>
      </c>
      <c r="C35" s="13" t="s">
        <v>15</v>
      </c>
      <c r="D35" s="13" t="s">
        <v>63</v>
      </c>
      <c r="E35" s="13" t="s">
        <v>13</v>
      </c>
      <c r="F35" s="13" t="s">
        <v>29</v>
      </c>
      <c r="G35" s="13" t="s">
        <v>50</v>
      </c>
      <c r="H35" s="13" t="s">
        <v>17</v>
      </c>
      <c r="I35" s="13" t="s">
        <v>52</v>
      </c>
      <c r="J35" s="13" t="s">
        <v>59</v>
      </c>
      <c r="K35" s="13" t="s">
        <v>60</v>
      </c>
      <c r="L35" s="13" t="s">
        <v>61</v>
      </c>
      <c r="M35" s="13" t="s">
        <v>58</v>
      </c>
      <c r="N35" s="13" t="s">
        <v>57</v>
      </c>
      <c r="O35" s="28" t="s">
        <v>25</v>
      </c>
      <c r="P35" s="28"/>
      <c r="Q35" s="28" t="s">
        <v>32</v>
      </c>
      <c r="S35" s="14" t="s">
        <v>4</v>
      </c>
      <c r="T35" s="2">
        <v>164227660.88237971</v>
      </c>
      <c r="U35" s="31">
        <v>96491379.044015497</v>
      </c>
      <c r="V35" s="63">
        <f t="shared" si="28"/>
        <v>0.16933799780185518</v>
      </c>
      <c r="W35" s="63">
        <f t="shared" si="29"/>
        <v>0.13607405125472655</v>
      </c>
      <c r="X35" s="63">
        <f t="shared" si="30"/>
        <v>0.15441596605502461</v>
      </c>
      <c r="Y35" s="63">
        <f t="shared" si="31"/>
        <v>0.14013041348207853</v>
      </c>
      <c r="Z35" s="63">
        <f t="shared" si="32"/>
        <v>7.5735666033093965E-2</v>
      </c>
      <c r="AA35" s="63">
        <f t="shared" si="33"/>
        <v>0.13246409899547212</v>
      </c>
      <c r="AB35" s="63">
        <f t="shared" si="34"/>
        <v>0.12626402179294174</v>
      </c>
      <c r="AC35" s="63">
        <f t="shared" si="35"/>
        <v>0.11629864441229697</v>
      </c>
      <c r="AD35" s="63">
        <f t="shared" si="36"/>
        <v>0.10765948953619342</v>
      </c>
      <c r="AE35" s="63">
        <f t="shared" si="37"/>
        <v>0.10000809905570875</v>
      </c>
      <c r="AF35" s="59">
        <f t="shared" si="38"/>
        <v>9.3097951276839161E-2</v>
      </c>
      <c r="AG35" s="59">
        <f t="shared" si="39"/>
        <v>9.0111204891121108E-2</v>
      </c>
      <c r="AH35" s="59">
        <f t="shared" si="40"/>
        <v>8.6273299106026921E-2</v>
      </c>
      <c r="AI35" s="24">
        <f t="shared" si="41"/>
        <v>8.1838583501029794E-2</v>
      </c>
      <c r="AJ35" s="24">
        <f t="shared" si="42"/>
        <v>5.4405879441886698E-2</v>
      </c>
      <c r="AK35" s="24">
        <f t="shared" si="43"/>
        <v>5.4150184089706954E-2</v>
      </c>
    </row>
    <row r="36" spans="1:37" ht="17" thickTop="1" x14ac:dyDescent="0.2">
      <c r="A36" s="258"/>
      <c r="B36" s="14" t="s">
        <v>0</v>
      </c>
      <c r="C36" s="2">
        <f t="shared" ref="C36:C47" si="44">VLOOKUP($B36,$B$9:$O$22,2,FALSE)*(1+$C$33)</f>
        <v>76282848.134374395</v>
      </c>
      <c r="D36" s="2">
        <f t="shared" ref="D36:D47" si="45">VLOOKUP($B36,$B$9:$O$22,3,FALSE)*(1+$C$33)</f>
        <v>14991560.832296638</v>
      </c>
      <c r="E36" s="4">
        <f t="shared" ref="E36:E47" si="46">C36-D36-F36</f>
        <v>18257401.032671154</v>
      </c>
      <c r="F36" s="18">
        <f>'Opt 3 - Tier Allocation'!Q10</f>
        <v>43033886.269406602</v>
      </c>
      <c r="G36" s="1">
        <f t="shared" ref="G36:G47" si="47">1-H36</f>
        <v>0.76066178073857149</v>
      </c>
      <c r="H36" s="1">
        <f t="shared" ref="H36:H47" si="48">MAX(0,E36/C36)</f>
        <v>0.23933821926142854</v>
      </c>
      <c r="I36" s="39">
        <f t="shared" ref="I36:I47" si="49">IF(H36&lt;0.15,1,IF(H36&gt;0.46,3,2))</f>
        <v>2</v>
      </c>
      <c r="J36" s="41">
        <f t="shared" ref="J36:J47" si="50">MIN($C$4,($C$3*0.5))*$C$7</f>
        <v>1.9999999799999998E-2</v>
      </c>
      <c r="K36" s="4">
        <f t="shared" ref="K36:K47" si="51">J36*F36</f>
        <v>860677.71678135474</v>
      </c>
      <c r="L36" s="40">
        <f t="shared" ref="L36:L47" si="52">H36/SUMIF($I$36:$I$47,I36,$H$36:$H$47)</f>
        <v>9.7156123613424294E-2</v>
      </c>
      <c r="M36" s="39">
        <f t="shared" ref="M36:M47" si="53">L36*VLOOKUP(I36,$G$27:$J$30,4,FALSE)</f>
        <v>2873749.8845797624</v>
      </c>
      <c r="N36" s="40">
        <f t="shared" ref="N36:N47" si="54">M36/SUM($M$36:$M$47)</f>
        <v>5.9336767080726979E-2</v>
      </c>
      <c r="O36" s="16">
        <f t="shared" ref="O36:O47" si="55">(K36+M36)/F36</f>
        <v>8.6778767271501911E-2</v>
      </c>
      <c r="P36" s="18"/>
      <c r="Q36" s="18">
        <f t="shared" ref="Q36:Q47" si="56">M36+K36+F36</f>
        <v>46768313.87076772</v>
      </c>
      <c r="S36" s="14" t="s">
        <v>5</v>
      </c>
      <c r="T36" s="2">
        <v>407962628.09385109</v>
      </c>
      <c r="U36" s="31">
        <v>187745917.65696079</v>
      </c>
      <c r="V36" s="63">
        <f t="shared" si="28"/>
        <v>6.7367541686206844E-2</v>
      </c>
      <c r="W36" s="63">
        <f t="shared" si="29"/>
        <v>7.6040845979060981E-2</v>
      </c>
      <c r="X36" s="63">
        <f t="shared" si="30"/>
        <v>7.0563233447074492E-2</v>
      </c>
      <c r="Y36" s="63">
        <f t="shared" si="31"/>
        <v>7.1701261518661477E-2</v>
      </c>
      <c r="Z36" s="63">
        <f t="shared" si="32"/>
        <v>7.6945728511844738E-2</v>
      </c>
      <c r="AA36" s="63">
        <f t="shared" si="33"/>
        <v>7.5257871249712158E-2</v>
      </c>
      <c r="AB36" s="63">
        <f t="shared" si="34"/>
        <v>7.8064811971658876E-2</v>
      </c>
      <c r="AC36" s="63">
        <f t="shared" si="35"/>
        <v>7.8431469100060894E-2</v>
      </c>
      <c r="AD36" s="63">
        <f t="shared" si="36"/>
        <v>7.8794028651166442E-2</v>
      </c>
      <c r="AE36" s="63">
        <f t="shared" si="37"/>
        <v>7.9144252220069364E-2</v>
      </c>
      <c r="AF36" s="59">
        <f t="shared" si="38"/>
        <v>7.9471478026118522E-2</v>
      </c>
      <c r="AG36" s="59">
        <f t="shared" si="39"/>
        <v>8.2775677486707222E-2</v>
      </c>
      <c r="AH36" s="59">
        <f t="shared" si="40"/>
        <v>8.5794236109666577E-2</v>
      </c>
      <c r="AI36" s="24">
        <f t="shared" si="41"/>
        <v>8.8720864860529908E-2</v>
      </c>
      <c r="AJ36" s="24">
        <f>VLOOKUP($S36,$B$373:$Q$385,14,FALSE)</f>
        <v>9.2547896921444703E-2</v>
      </c>
      <c r="AK36" s="24">
        <f t="shared" si="43"/>
        <v>8.8637390363112786E-2</v>
      </c>
    </row>
    <row r="37" spans="1:37" ht="16" x14ac:dyDescent="0.2">
      <c r="A37" s="258"/>
      <c r="B37" s="14" t="s">
        <v>1</v>
      </c>
      <c r="C37" s="2">
        <f t="shared" si="44"/>
        <v>169915414.58243486</v>
      </c>
      <c r="D37" s="2">
        <f t="shared" si="45"/>
        <v>56890256.72611583</v>
      </c>
      <c r="E37" s="4">
        <f t="shared" si="46"/>
        <v>65067148.26152809</v>
      </c>
      <c r="F37" s="18">
        <f>'Opt 3 - Tier Allocation'!Q11</f>
        <v>47958009.59479095</v>
      </c>
      <c r="G37" s="1">
        <f t="shared" si="47"/>
        <v>0.617061533696458</v>
      </c>
      <c r="H37" s="1">
        <f t="shared" si="48"/>
        <v>0.38293846630354195</v>
      </c>
      <c r="I37" s="39">
        <f t="shared" si="49"/>
        <v>2</v>
      </c>
      <c r="J37" s="41">
        <f t="shared" si="50"/>
        <v>1.9999999799999998E-2</v>
      </c>
      <c r="K37" s="4">
        <f t="shared" si="51"/>
        <v>959160.18230421701</v>
      </c>
      <c r="L37" s="40">
        <f t="shared" si="52"/>
        <v>0.15544870803890834</v>
      </c>
      <c r="M37" s="39">
        <f t="shared" si="53"/>
        <v>4597967.5821809089</v>
      </c>
      <c r="N37" s="40">
        <f t="shared" si="54"/>
        <v>9.4938161783866784E-2</v>
      </c>
      <c r="O37" s="16">
        <f t="shared" si="55"/>
        <v>0.11587486243567381</v>
      </c>
      <c r="P37" s="18"/>
      <c r="Q37" s="18">
        <f t="shared" si="56"/>
        <v>53515137.359276079</v>
      </c>
      <c r="S37" s="14" t="s">
        <v>6</v>
      </c>
      <c r="T37" s="2">
        <v>295355339.6784091</v>
      </c>
      <c r="U37" s="31">
        <v>30753929.338460058</v>
      </c>
      <c r="V37" s="63">
        <f t="shared" si="28"/>
        <v>3.8819336034607986E-2</v>
      </c>
      <c r="W37" s="63">
        <f t="shared" si="29"/>
        <v>3.9221662848203921E-2</v>
      </c>
      <c r="X37" s="63">
        <f t="shared" si="30"/>
        <v>3.9587561979951905E-2</v>
      </c>
      <c r="Y37" s="63">
        <f t="shared" si="31"/>
        <v>3.9912181169810657E-2</v>
      </c>
      <c r="Z37" s="63">
        <f t="shared" si="32"/>
        <v>4.0190349642045597E-2</v>
      </c>
      <c r="AA37" s="63">
        <f t="shared" si="33"/>
        <v>3.2279045268974522E-2</v>
      </c>
      <c r="AB37" s="63">
        <f t="shared" si="34"/>
        <v>3.0188060572366154E-2</v>
      </c>
      <c r="AC37" s="63">
        <f t="shared" si="35"/>
        <v>3.1806020314842205E-2</v>
      </c>
      <c r="AD37" s="63">
        <f t="shared" si="36"/>
        <v>3.3639764082875362E-2</v>
      </c>
      <c r="AE37" s="63">
        <f t="shared" si="37"/>
        <v>3.5671837784996538E-2</v>
      </c>
      <c r="AF37" s="59">
        <f t="shared" si="38"/>
        <v>3.7837447562227074E-2</v>
      </c>
      <c r="AG37" s="59">
        <f t="shared" si="39"/>
        <v>3.4353115078738741E-2</v>
      </c>
      <c r="AH37" s="59">
        <f t="shared" si="40"/>
        <v>3.3237693774673033E-2</v>
      </c>
      <c r="AI37" s="24">
        <f t="shared" si="41"/>
        <v>3.3063439437388001E-2</v>
      </c>
      <c r="AJ37" s="24">
        <f t="shared" si="42"/>
        <v>3.2957909438373928E-2</v>
      </c>
      <c r="AK37" s="24">
        <f t="shared" si="43"/>
        <v>3.4576217731069975E-2</v>
      </c>
    </row>
    <row r="38" spans="1:37" ht="16" x14ac:dyDescent="0.2">
      <c r="A38" s="258"/>
      <c r="B38" s="14" t="s">
        <v>2</v>
      </c>
      <c r="C38" s="2">
        <f t="shared" si="44"/>
        <v>115205950.9743305</v>
      </c>
      <c r="D38" s="2">
        <f t="shared" si="45"/>
        <v>29095632.323467437</v>
      </c>
      <c r="E38" s="4">
        <f t="shared" si="46"/>
        <v>56683643.238893472</v>
      </c>
      <c r="F38" s="18">
        <f>'Opt 3 - Tier Allocation'!Q12</f>
        <v>29426675.411969595</v>
      </c>
      <c r="G38" s="1">
        <f t="shared" si="47"/>
        <v>0.50797990243122615</v>
      </c>
      <c r="H38" s="1">
        <f t="shared" si="48"/>
        <v>0.49202009756877385</v>
      </c>
      <c r="I38" s="39">
        <f t="shared" si="49"/>
        <v>3</v>
      </c>
      <c r="J38" s="41">
        <f t="shared" si="50"/>
        <v>1.9999999799999998E-2</v>
      </c>
      <c r="K38" s="4">
        <f t="shared" si="51"/>
        <v>588533.50235405669</v>
      </c>
      <c r="L38" s="40">
        <f t="shared" si="52"/>
        <v>0.32115626661742225</v>
      </c>
      <c r="M38" s="39">
        <f t="shared" si="53"/>
        <v>4404306.4670882802</v>
      </c>
      <c r="N38" s="40">
        <f t="shared" si="54"/>
        <v>9.0939475419230156E-2</v>
      </c>
      <c r="O38" s="16">
        <f t="shared" si="55"/>
        <v>0.16967054210315072</v>
      </c>
      <c r="P38" s="18"/>
      <c r="Q38" s="18">
        <f t="shared" si="56"/>
        <v>34419515.381411932</v>
      </c>
      <c r="S38" s="14" t="s">
        <v>7</v>
      </c>
      <c r="T38" s="2">
        <v>328852284.24685562</v>
      </c>
      <c r="U38" s="31">
        <v>133280715.93843317</v>
      </c>
      <c r="V38" s="63">
        <f t="shared" si="28"/>
        <v>8.4927751394540035E-2</v>
      </c>
      <c r="W38" s="63">
        <f t="shared" si="29"/>
        <v>8.8793004714026735E-2</v>
      </c>
      <c r="X38" s="63">
        <f t="shared" si="30"/>
        <v>8.0926351983386977E-2</v>
      </c>
      <c r="Y38" s="63">
        <f t="shared" si="31"/>
        <v>8.1304319688480356E-2</v>
      </c>
      <c r="Z38" s="63">
        <f t="shared" si="32"/>
        <v>8.6461910983442317E-2</v>
      </c>
      <c r="AA38" s="63">
        <f t="shared" si="33"/>
        <v>8.3412223503791724E-2</v>
      </c>
      <c r="AB38" s="63">
        <f t="shared" si="34"/>
        <v>8.5583968645475475E-2</v>
      </c>
      <c r="AC38" s="63">
        <f t="shared" si="35"/>
        <v>8.4930998393878687E-2</v>
      </c>
      <c r="AD38" s="63">
        <f t="shared" si="36"/>
        <v>8.4290688849389631E-2</v>
      </c>
      <c r="AE38" s="63">
        <f t="shared" si="37"/>
        <v>8.3646747172930705E-2</v>
      </c>
      <c r="AF38" s="59">
        <f t="shared" si="38"/>
        <v>8.2980496361611256E-2</v>
      </c>
      <c r="AG38" s="59">
        <f t="shared" si="39"/>
        <v>8.5410365612202277E-2</v>
      </c>
      <c r="AH38" s="59">
        <f t="shared" si="40"/>
        <v>8.7363285136523028E-2</v>
      </c>
      <c r="AI38" s="24">
        <f t="shared" si="41"/>
        <v>8.9024698194726776E-2</v>
      </c>
      <c r="AJ38" s="24">
        <f t="shared" si="42"/>
        <v>9.1333860268102099E-2</v>
      </c>
      <c r="AK38" s="24">
        <f t="shared" si="43"/>
        <v>8.5843921933527551E-2</v>
      </c>
    </row>
    <row r="39" spans="1:37" ht="16" x14ac:dyDescent="0.2">
      <c r="A39" s="258"/>
      <c r="B39" s="14" t="s">
        <v>3</v>
      </c>
      <c r="C39" s="2">
        <f t="shared" si="44"/>
        <v>492130835.96661675</v>
      </c>
      <c r="D39" s="2">
        <f t="shared" si="45"/>
        <v>176573435.33215031</v>
      </c>
      <c r="E39" s="4">
        <f t="shared" si="46"/>
        <v>237568656.40766954</v>
      </c>
      <c r="F39" s="18">
        <f>'Opt 3 - Tier Allocation'!Q13</f>
        <v>77988744.226796865</v>
      </c>
      <c r="G39" s="1">
        <f t="shared" si="47"/>
        <v>0.51726524930905815</v>
      </c>
      <c r="H39" s="1">
        <f t="shared" si="48"/>
        <v>0.48273475069094185</v>
      </c>
      <c r="I39" s="39">
        <f t="shared" si="49"/>
        <v>3</v>
      </c>
      <c r="J39" s="41">
        <f t="shared" si="50"/>
        <v>1.9999999799999998E-2</v>
      </c>
      <c r="K39" s="4">
        <f t="shared" si="51"/>
        <v>1559774.8689381883</v>
      </c>
      <c r="L39" s="40">
        <f t="shared" si="52"/>
        <v>0.31509544237006426</v>
      </c>
      <c r="M39" s="39">
        <f t="shared" si="53"/>
        <v>4321188.9003358828</v>
      </c>
      <c r="N39" s="40">
        <f t="shared" si="54"/>
        <v>8.9223276064106044E-2</v>
      </c>
      <c r="O39" s="16">
        <f t="shared" si="55"/>
        <v>7.5407853114954723E-2</v>
      </c>
      <c r="P39" s="18"/>
      <c r="Q39" s="18">
        <f t="shared" si="56"/>
        <v>83869707.996070936</v>
      </c>
      <c r="S39" s="14" t="s">
        <v>8</v>
      </c>
      <c r="T39" s="2">
        <v>910487338.83586597</v>
      </c>
      <c r="U39" s="31">
        <v>321724913.92231131</v>
      </c>
      <c r="V39" s="63">
        <f t="shared" si="28"/>
        <v>3.4226620855386379E-2</v>
      </c>
      <c r="W39" s="63">
        <f t="shared" si="29"/>
        <v>3.6172705770123957E-2</v>
      </c>
      <c r="X39" s="63">
        <f t="shared" si="30"/>
        <v>3.543323699565374E-2</v>
      </c>
      <c r="Y39" s="63">
        <f t="shared" si="31"/>
        <v>3.6603554202066166E-2</v>
      </c>
      <c r="Z39" s="63">
        <f t="shared" si="32"/>
        <v>3.9260556498618086E-2</v>
      </c>
      <c r="AA39" s="63">
        <f t="shared" si="33"/>
        <v>3.9781286840238433E-2</v>
      </c>
      <c r="AB39" s="63">
        <f t="shared" si="34"/>
        <v>4.1966338384658936E-2</v>
      </c>
      <c r="AC39" s="63">
        <f t="shared" si="35"/>
        <v>4.3426435898375908E-2</v>
      </c>
      <c r="AD39" s="63">
        <f t="shared" si="36"/>
        <v>4.4996526590252668E-2</v>
      </c>
      <c r="AE39" s="63">
        <f t="shared" si="37"/>
        <v>4.6685586127634585E-2</v>
      </c>
      <c r="AF39" s="59">
        <f t="shared" si="38"/>
        <v>4.8503141020325775E-2</v>
      </c>
      <c r="AG39" s="59">
        <f t="shared" si="39"/>
        <v>5.1995213703577618E-2</v>
      </c>
      <c r="AH39" s="59">
        <f t="shared" si="40"/>
        <v>5.5826925030487994E-2</v>
      </c>
      <c r="AI39" s="24">
        <f t="shared" si="41"/>
        <v>6.0184743719102082E-2</v>
      </c>
      <c r="AJ39" s="24">
        <f t="shared" si="42"/>
        <v>6.5837565147511407E-2</v>
      </c>
      <c r="AK39" s="24">
        <f t="shared" si="43"/>
        <v>6.7286034119747554E-2</v>
      </c>
    </row>
    <row r="40" spans="1:37" ht="16" x14ac:dyDescent="0.2">
      <c r="A40" s="258"/>
      <c r="B40" s="14" t="s">
        <v>4</v>
      </c>
      <c r="C40" s="2">
        <f t="shared" si="44"/>
        <v>169154490.7088511</v>
      </c>
      <c r="D40" s="2">
        <f t="shared" si="45"/>
        <v>31913295.293515135</v>
      </c>
      <c r="E40" s="4">
        <f t="shared" si="46"/>
        <v>94265100.65112327</v>
      </c>
      <c r="F40" s="18">
        <f>'Opt 3 - Tier Allocation'!Q14</f>
        <v>42976094.764212683</v>
      </c>
      <c r="G40" s="1">
        <f t="shared" si="47"/>
        <v>0.44272776763950972</v>
      </c>
      <c r="H40" s="1">
        <f t="shared" si="48"/>
        <v>0.55727223236049028</v>
      </c>
      <c r="I40" s="39">
        <f t="shared" si="49"/>
        <v>3</v>
      </c>
      <c r="J40" s="41">
        <f t="shared" si="50"/>
        <v>1.9999999799999998E-2</v>
      </c>
      <c r="K40" s="4">
        <f t="shared" si="51"/>
        <v>859521.88668903464</v>
      </c>
      <c r="L40" s="40">
        <f t="shared" si="52"/>
        <v>0.3637482910125136</v>
      </c>
      <c r="M40" s="39">
        <f t="shared" si="53"/>
        <v>4988409.4349844269</v>
      </c>
      <c r="N40" s="40">
        <f t="shared" si="54"/>
        <v>0.10299994802444551</v>
      </c>
      <c r="O40" s="16">
        <f t="shared" si="55"/>
        <v>0.13607405125472655</v>
      </c>
      <c r="P40" s="18"/>
      <c r="Q40" s="18">
        <f t="shared" si="56"/>
        <v>48824026.085886143</v>
      </c>
      <c r="S40" s="14" t="s">
        <v>9</v>
      </c>
      <c r="T40" s="2">
        <v>92705416.600463837</v>
      </c>
      <c r="U40" s="31">
        <v>27802727.782648683</v>
      </c>
      <c r="V40" s="63">
        <f t="shared" si="28"/>
        <v>0.14243810912129684</v>
      </c>
      <c r="W40" s="63">
        <f t="shared" si="29"/>
        <v>0.13403471078219759</v>
      </c>
      <c r="X40" s="63">
        <f t="shared" si="30"/>
        <v>0.10877685301498653</v>
      </c>
      <c r="Y40" s="63">
        <f t="shared" si="31"/>
        <v>0.10020978804191485</v>
      </c>
      <c r="Z40" s="63">
        <f t="shared" si="32"/>
        <v>9.8257212802980595E-2</v>
      </c>
      <c r="AA40" s="63">
        <f t="shared" si="33"/>
        <v>8.658814774636861E-2</v>
      </c>
      <c r="AB40" s="63">
        <f t="shared" si="34"/>
        <v>8.5187473772779659E-2</v>
      </c>
      <c r="AC40" s="63">
        <f t="shared" si="35"/>
        <v>8.0443578521764883E-2</v>
      </c>
      <c r="AD40" s="63">
        <f t="shared" si="36"/>
        <v>7.5207829552473543E-2</v>
      </c>
      <c r="AE40" s="63">
        <f t="shared" si="37"/>
        <v>6.9379124394280289E-2</v>
      </c>
      <c r="AF40" s="59">
        <f t="shared" si="38"/>
        <v>6.2933110101774797E-2</v>
      </c>
      <c r="AG40" s="59">
        <f t="shared" si="39"/>
        <v>4.5844457871714976E-2</v>
      </c>
      <c r="AH40" s="59">
        <f t="shared" si="40"/>
        <v>3.9787109711690222E-2</v>
      </c>
      <c r="AI40" s="24">
        <f t="shared" si="41"/>
        <v>3.7021741890945398E-2</v>
      </c>
      <c r="AJ40" s="24">
        <f t="shared" si="42"/>
        <v>3.5125724518805065E-2</v>
      </c>
      <c r="AK40" s="24">
        <f t="shared" si="43"/>
        <v>3.5608620513940252E-2</v>
      </c>
    </row>
    <row r="41" spans="1:37" ht="16" x14ac:dyDescent="0.2">
      <c r="A41" s="258"/>
      <c r="B41" s="14" t="s">
        <v>5</v>
      </c>
      <c r="C41" s="2">
        <f t="shared" si="44"/>
        <v>420201506.93666661</v>
      </c>
      <c r="D41" s="2">
        <f t="shared" si="45"/>
        <v>133342609.08333038</v>
      </c>
      <c r="E41" s="4">
        <f t="shared" si="46"/>
        <v>189986896.82065168</v>
      </c>
      <c r="F41" s="18">
        <f>'Opt 3 - Tier Allocation'!Q15</f>
        <v>96872001.032684535</v>
      </c>
      <c r="G41" s="1">
        <f t="shared" si="47"/>
        <v>0.54786716924057388</v>
      </c>
      <c r="H41" s="1">
        <f t="shared" si="48"/>
        <v>0.45213283075942606</v>
      </c>
      <c r="I41" s="39">
        <f t="shared" si="49"/>
        <v>2</v>
      </c>
      <c r="J41" s="41">
        <f t="shared" si="50"/>
        <v>1.9999999799999998E-2</v>
      </c>
      <c r="K41" s="4">
        <f t="shared" si="51"/>
        <v>1937440.0012792903</v>
      </c>
      <c r="L41" s="40">
        <f t="shared" si="52"/>
        <v>0.1835372274871335</v>
      </c>
      <c r="M41" s="39">
        <f t="shared" si="53"/>
        <v>5428788.9089305103</v>
      </c>
      <c r="N41" s="40">
        <f t="shared" si="54"/>
        <v>0.11209283895865185</v>
      </c>
      <c r="O41" s="16">
        <f t="shared" si="55"/>
        <v>7.6040845979060981E-2</v>
      </c>
      <c r="P41" s="18"/>
      <c r="Q41" s="18">
        <f t="shared" si="56"/>
        <v>104238229.94289434</v>
      </c>
      <c r="S41" s="14" t="s">
        <v>10</v>
      </c>
      <c r="T41" s="2">
        <v>1243404655.6066542</v>
      </c>
      <c r="U41" s="31">
        <v>110876434.4409368</v>
      </c>
      <c r="V41" s="63">
        <f t="shared" si="28"/>
        <v>2.7096381270334619E-2</v>
      </c>
      <c r="W41" s="63">
        <f t="shared" si="29"/>
        <v>2.7678252997984397E-2</v>
      </c>
      <c r="X41" s="63">
        <f t="shared" si="30"/>
        <v>2.8305128818862449E-2</v>
      </c>
      <c r="Y41" s="63">
        <f t="shared" si="31"/>
        <v>2.8980488037781093E-2</v>
      </c>
      <c r="Z41" s="63">
        <f t="shared" si="32"/>
        <v>2.9708010644260076E-2</v>
      </c>
      <c r="AA41" s="63">
        <f t="shared" si="33"/>
        <v>2.6309882406436187E-2</v>
      </c>
      <c r="AB41" s="63">
        <f t="shared" si="34"/>
        <v>2.5386240907455001E-2</v>
      </c>
      <c r="AC41" s="63">
        <f t="shared" si="35"/>
        <v>2.6352487303543028E-2</v>
      </c>
      <c r="AD41" s="63">
        <f t="shared" si="36"/>
        <v>2.7524840661125972E-2</v>
      </c>
      <c r="AE41" s="63">
        <f t="shared" si="37"/>
        <v>2.8941087179916811E-2</v>
      </c>
      <c r="AF41" s="59">
        <f t="shared" si="38"/>
        <v>3.0630523323869247E-2</v>
      </c>
      <c r="AG41" s="59">
        <f t="shared" si="39"/>
        <v>2.9041094023518718E-2</v>
      </c>
      <c r="AH41" s="59">
        <f t="shared" si="40"/>
        <v>2.8649586948120059E-2</v>
      </c>
      <c r="AI41" s="24">
        <f t="shared" si="41"/>
        <v>2.8796483832459651E-2</v>
      </c>
      <c r="AJ41" s="24">
        <f t="shared" si="42"/>
        <v>2.8979828552691281E-2</v>
      </c>
      <c r="AK41" s="24">
        <f t="shared" si="43"/>
        <v>3.0385771873667155E-2</v>
      </c>
    </row>
    <row r="42" spans="1:37" ht="16" x14ac:dyDescent="0.2">
      <c r="A42" s="258"/>
      <c r="B42" s="14" t="s">
        <v>6</v>
      </c>
      <c r="C42" s="2">
        <f t="shared" si="44"/>
        <v>304215999.86876136</v>
      </c>
      <c r="D42" s="2">
        <f t="shared" si="45"/>
        <v>132809637.4789564</v>
      </c>
      <c r="E42" s="4">
        <f t="shared" si="46"/>
        <v>30480115.962256163</v>
      </c>
      <c r="F42" s="18">
        <f>'Opt 3 - Tier Allocation'!Q16</f>
        <v>140926246.4275488</v>
      </c>
      <c r="G42" s="1">
        <f t="shared" si="47"/>
        <v>0.89980764990860029</v>
      </c>
      <c r="H42" s="1">
        <f t="shared" si="48"/>
        <v>0.10019235009139976</v>
      </c>
      <c r="I42" s="39">
        <f t="shared" si="49"/>
        <v>1</v>
      </c>
      <c r="J42" s="41">
        <f t="shared" si="50"/>
        <v>1.9999999799999998E-2</v>
      </c>
      <c r="K42" s="4">
        <f t="shared" si="51"/>
        <v>2818524.9003657261</v>
      </c>
      <c r="L42" s="40">
        <f t="shared" si="52"/>
        <v>0.52715471407489156</v>
      </c>
      <c r="M42" s="39">
        <f t="shared" si="53"/>
        <v>2708836.8234784948</v>
      </c>
      <c r="N42" s="40">
        <f t="shared" si="54"/>
        <v>5.5931666327998612E-2</v>
      </c>
      <c r="O42" s="16">
        <f t="shared" si="55"/>
        <v>3.9221662848203921E-2</v>
      </c>
      <c r="P42" s="18"/>
      <c r="Q42" s="18">
        <f t="shared" si="56"/>
        <v>146453608.15139303</v>
      </c>
      <c r="S42" s="14" t="s">
        <v>11</v>
      </c>
      <c r="T42" s="2">
        <v>195405555.48763829</v>
      </c>
      <c r="U42" s="31">
        <v>75892247.402372122</v>
      </c>
      <c r="V42" s="63">
        <f t="shared" si="28"/>
        <v>9.7142937899977647E-2</v>
      </c>
      <c r="W42" s="63">
        <f t="shared" si="29"/>
        <v>9.9283064770717272E-2</v>
      </c>
      <c r="X42" s="63">
        <f t="shared" si="30"/>
        <v>8.8027653611286241E-2</v>
      </c>
      <c r="Y42" s="63">
        <f t="shared" si="31"/>
        <v>8.6610549942915602E-2</v>
      </c>
      <c r="Z42" s="63">
        <f t="shared" si="32"/>
        <v>9.0276626591552847E-2</v>
      </c>
      <c r="AA42" s="63">
        <f t="shared" si="33"/>
        <v>8.5075602419691032E-2</v>
      </c>
      <c r="AB42" s="63">
        <f t="shared" si="34"/>
        <v>8.5406779494625829E-2</v>
      </c>
      <c r="AC42" s="63">
        <f t="shared" si="35"/>
        <v>8.2814937955682122E-2</v>
      </c>
      <c r="AD42" s="63">
        <f t="shared" si="36"/>
        <v>8.0295797534686034E-2</v>
      </c>
      <c r="AE42" s="63">
        <f t="shared" si="37"/>
        <v>7.7815002168341973E-2</v>
      </c>
      <c r="AF42" s="59">
        <f t="shared" si="38"/>
        <v>7.5339811972759047E-2</v>
      </c>
      <c r="AG42" s="59">
        <f t="shared" si="39"/>
        <v>7.5503235986304804E-2</v>
      </c>
      <c r="AH42" s="59">
        <f t="shared" si="40"/>
        <v>7.492543453474719E-2</v>
      </c>
      <c r="AI42" s="24">
        <f t="shared" si="41"/>
        <v>5.829507775630631E-2</v>
      </c>
      <c r="AJ42" s="24">
        <f t="shared" si="42"/>
        <v>5.4028385879439624E-2</v>
      </c>
      <c r="AK42" s="24">
        <f t="shared" si="43"/>
        <v>5.4528865635381875E-2</v>
      </c>
    </row>
    <row r="43" spans="1:37" ht="16" x14ac:dyDescent="0.2">
      <c r="A43" s="258"/>
      <c r="B43" s="14" t="s">
        <v>7</v>
      </c>
      <c r="C43" s="2">
        <f t="shared" si="44"/>
        <v>338717852.7742613</v>
      </c>
      <c r="D43" s="2">
        <f t="shared" si="45"/>
        <v>135988547.8621996</v>
      </c>
      <c r="E43" s="4">
        <f t="shared" si="46"/>
        <v>133788816.51471967</v>
      </c>
      <c r="F43" s="18">
        <f>'Opt 3 - Tier Allocation'!Q17</f>
        <v>68940488.397342026</v>
      </c>
      <c r="G43" s="1">
        <f t="shared" si="47"/>
        <v>0.60501398016394692</v>
      </c>
      <c r="H43" s="1">
        <f t="shared" si="48"/>
        <v>0.39498601983605303</v>
      </c>
      <c r="I43" s="39">
        <f t="shared" si="49"/>
        <v>2</v>
      </c>
      <c r="J43" s="41">
        <f t="shared" si="50"/>
        <v>1.9999999799999998E-2</v>
      </c>
      <c r="K43" s="4">
        <f t="shared" si="51"/>
        <v>1378809.7541587427</v>
      </c>
      <c r="L43" s="40">
        <f t="shared" si="52"/>
        <v>0.16033924998350879</v>
      </c>
      <c r="M43" s="39">
        <f t="shared" si="53"/>
        <v>4742623.3570937533</v>
      </c>
      <c r="N43" s="40">
        <f t="shared" si="54"/>
        <v>9.7924993055768059E-2</v>
      </c>
      <c r="O43" s="16">
        <f t="shared" si="55"/>
        <v>8.8793004714026735E-2</v>
      </c>
      <c r="P43" s="18"/>
      <c r="Q43" s="18">
        <f t="shared" si="56"/>
        <v>75061921.508594528</v>
      </c>
      <c r="S43" s="15" t="s">
        <v>14</v>
      </c>
      <c r="T43" s="33">
        <f>SUM(T31:T42)</f>
        <v>4467075684.9250851</v>
      </c>
      <c r="U43" s="33">
        <f>SUM(U31:U42)</f>
        <v>1365370425.5038662</v>
      </c>
      <c r="V43" s="24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</row>
    <row r="44" spans="1:37" ht="16" x14ac:dyDescent="0.2">
      <c r="A44" s="258"/>
      <c r="B44" s="14" t="s">
        <v>8</v>
      </c>
      <c r="C44" s="2">
        <f t="shared" si="44"/>
        <v>937801959.00094199</v>
      </c>
      <c r="D44" s="2">
        <f t="shared" si="45"/>
        <v>345999687.23477989</v>
      </c>
      <c r="E44" s="4">
        <f t="shared" si="46"/>
        <v>330308000.8387146</v>
      </c>
      <c r="F44" s="18">
        <f>'Opt 3 - Tier Allocation'!Q18</f>
        <v>261494270.92744753</v>
      </c>
      <c r="G44" s="1">
        <f t="shared" si="47"/>
        <v>0.64778491058965382</v>
      </c>
      <c r="H44" s="1">
        <f t="shared" si="48"/>
        <v>0.35221508941034618</v>
      </c>
      <c r="I44" s="39">
        <f t="shared" si="49"/>
        <v>2</v>
      </c>
      <c r="J44" s="41">
        <f t="shared" si="50"/>
        <v>1.9999999799999998E-2</v>
      </c>
      <c r="K44" s="4">
        <f t="shared" si="51"/>
        <v>5229885.3662500959</v>
      </c>
      <c r="L44" s="40">
        <f t="shared" si="52"/>
        <v>0.14297696736803503</v>
      </c>
      <c r="M44" s="39">
        <f t="shared" si="53"/>
        <v>4229069.9565815413</v>
      </c>
      <c r="N44" s="40">
        <f t="shared" si="54"/>
        <v>8.7321217593880729E-2</v>
      </c>
      <c r="O44" s="16">
        <f t="shared" si="55"/>
        <v>3.6172705770123957E-2</v>
      </c>
      <c r="P44" s="18"/>
      <c r="Q44" s="18">
        <f t="shared" si="56"/>
        <v>270953226.25027919</v>
      </c>
    </row>
    <row r="45" spans="1:37" ht="16" x14ac:dyDescent="0.2">
      <c r="A45" s="258"/>
      <c r="B45" s="14" t="s">
        <v>9</v>
      </c>
      <c r="C45" s="2">
        <f t="shared" si="44"/>
        <v>95486579.098477751</v>
      </c>
      <c r="D45" s="2">
        <f t="shared" si="45"/>
        <v>41167088.629038222</v>
      </c>
      <c r="E45" s="4">
        <f t="shared" si="46"/>
        <v>25833205.662427098</v>
      </c>
      <c r="F45" s="18">
        <f>'Opt 3 - Tier Allocation'!Q19</f>
        <v>28486284.807012431</v>
      </c>
      <c r="G45" s="1">
        <f t="shared" si="47"/>
        <v>0.72945720847550044</v>
      </c>
      <c r="H45" s="1">
        <f t="shared" si="48"/>
        <v>0.2705427915244995</v>
      </c>
      <c r="I45" s="39">
        <f t="shared" si="49"/>
        <v>2</v>
      </c>
      <c r="J45" s="41">
        <f t="shared" si="50"/>
        <v>1.9999999799999998E-2</v>
      </c>
      <c r="K45" s="4">
        <f t="shared" si="51"/>
        <v>569725.69044299156</v>
      </c>
      <c r="L45" s="40">
        <f t="shared" si="52"/>
        <v>0.10982319905774945</v>
      </c>
      <c r="M45" s="39">
        <f t="shared" si="53"/>
        <v>3248425.2549242293</v>
      </c>
      <c r="N45" s="40">
        <f t="shared" si="54"/>
        <v>6.7073009298711725E-2</v>
      </c>
      <c r="O45" s="16">
        <f t="shared" si="55"/>
        <v>0.13403471078219759</v>
      </c>
      <c r="P45" s="18"/>
      <c r="Q45" s="18">
        <f t="shared" si="56"/>
        <v>32304435.752379652</v>
      </c>
    </row>
    <row r="46" spans="1:37" ht="16" x14ac:dyDescent="0.2">
      <c r="A46" s="258"/>
      <c r="B46" s="14" t="s">
        <v>10</v>
      </c>
      <c r="C46" s="2">
        <f t="shared" si="44"/>
        <v>1280706795.2748537</v>
      </c>
      <c r="D46" s="2">
        <f t="shared" si="45"/>
        <v>849162173.41351497</v>
      </c>
      <c r="E46" s="4">
        <f t="shared" si="46"/>
        <v>115097329.28799999</v>
      </c>
      <c r="F46" s="18">
        <f>'Opt 3 - Tier Allocation'!Q20</f>
        <v>316447292.57333875</v>
      </c>
      <c r="G46" s="1">
        <f t="shared" si="47"/>
        <v>0.91012983634298683</v>
      </c>
      <c r="H46" s="1">
        <f t="shared" si="48"/>
        <v>8.9870163657013183E-2</v>
      </c>
      <c r="I46" s="39">
        <f t="shared" si="49"/>
        <v>1</v>
      </c>
      <c r="J46" s="41">
        <f t="shared" si="50"/>
        <v>1.9999999799999998E-2</v>
      </c>
      <c r="K46" s="4">
        <f t="shared" si="51"/>
        <v>6328945.7881773161</v>
      </c>
      <c r="L46" s="40">
        <f t="shared" si="52"/>
        <v>0.47284528592510855</v>
      </c>
      <c r="M46" s="39">
        <f t="shared" si="53"/>
        <v>2429762.436194743</v>
      </c>
      <c r="N46" s="40">
        <f t="shared" si="54"/>
        <v>5.0169379218285827E-2</v>
      </c>
      <c r="O46" s="16">
        <f t="shared" si="55"/>
        <v>2.7678252997984397E-2</v>
      </c>
      <c r="P46" s="18"/>
      <c r="Q46" s="18">
        <f t="shared" si="56"/>
        <v>325206000.79771078</v>
      </c>
    </row>
    <row r="47" spans="1:37" ht="16" x14ac:dyDescent="0.2">
      <c r="A47" s="258"/>
      <c r="B47" s="14" t="s">
        <v>11</v>
      </c>
      <c r="C47" s="2">
        <f t="shared" si="44"/>
        <v>201267722.15226746</v>
      </c>
      <c r="D47" s="2">
        <f t="shared" si="45"/>
        <v>70310245.994490817</v>
      </c>
      <c r="E47" s="4">
        <f t="shared" si="46"/>
        <v>74727876.590327412</v>
      </c>
      <c r="F47" s="18">
        <f>'Opt 3 - Tier Allocation'!Q21</f>
        <v>56229599.567449227</v>
      </c>
      <c r="G47" s="1">
        <f t="shared" si="47"/>
        <v>0.62871405414032244</v>
      </c>
      <c r="H47" s="1">
        <f t="shared" si="48"/>
        <v>0.37128594585967761</v>
      </c>
      <c r="I47" s="39">
        <f t="shared" si="49"/>
        <v>2</v>
      </c>
      <c r="J47" s="41">
        <f t="shared" si="50"/>
        <v>1.9999999799999998E-2</v>
      </c>
      <c r="K47" s="4">
        <f t="shared" si="51"/>
        <v>1124591.9801030646</v>
      </c>
      <c r="L47" s="40">
        <f t="shared" si="52"/>
        <v>0.15071852445124059</v>
      </c>
      <c r="M47" s="39">
        <f t="shared" si="53"/>
        <v>4458054.9957834929</v>
      </c>
      <c r="N47" s="40">
        <f t="shared" si="54"/>
        <v>9.2049267174327862E-2</v>
      </c>
      <c r="O47" s="16">
        <f t="shared" si="55"/>
        <v>9.9283064770717272E-2</v>
      </c>
      <c r="P47" s="18"/>
      <c r="Q47" s="18">
        <f t="shared" si="56"/>
        <v>61812246.543335781</v>
      </c>
    </row>
    <row r="48" spans="1:37" x14ac:dyDescent="0.2">
      <c r="A48" s="258"/>
      <c r="B48" s="14"/>
      <c r="C48" s="2"/>
      <c r="D48" s="2"/>
      <c r="E48" s="4"/>
      <c r="G48" s="1"/>
      <c r="H48" s="1"/>
      <c r="I48" s="39"/>
      <c r="J48" s="39"/>
      <c r="K48" s="39"/>
      <c r="L48" s="39"/>
      <c r="M48" s="39"/>
      <c r="N48" s="39"/>
      <c r="O48" s="16"/>
      <c r="P48" s="16"/>
      <c r="Q48" s="16"/>
    </row>
    <row r="49" spans="1:37" x14ac:dyDescent="0.2">
      <c r="A49" s="258"/>
      <c r="B49" s="15" t="s">
        <v>14</v>
      </c>
      <c r="C49" s="30">
        <f>SUM(C36:C47)</f>
        <v>4601087955.4728374</v>
      </c>
      <c r="D49" s="30">
        <f>SUM(D36:D47)</f>
        <v>2018244170.2038558</v>
      </c>
      <c r="E49" s="30">
        <f>SUM(E36:E47)</f>
        <v>1372064191.2689822</v>
      </c>
      <c r="F49" s="30">
        <f>SUM(F36:F47)</f>
        <v>1210779594.0000002</v>
      </c>
      <c r="G49" s="11">
        <f>1-H49</f>
        <v>0.70179570472306263</v>
      </c>
      <c r="H49" s="11">
        <f>MAX(0,E49/C49)</f>
        <v>0.29820429527693737</v>
      </c>
      <c r="I49" s="11"/>
      <c r="J49" s="11"/>
      <c r="K49" s="30">
        <f>SUM(K36:K47)</f>
        <v>24215591.637844078</v>
      </c>
      <c r="L49" s="11"/>
      <c r="M49" s="30">
        <f>SUM(M36:M47)</f>
        <v>48431184.002156019</v>
      </c>
      <c r="N49" s="11"/>
      <c r="O49" s="16"/>
      <c r="P49" s="16"/>
      <c r="Q49" s="30">
        <f>SUM(Q36:Q47)</f>
        <v>1283426369.6400001</v>
      </c>
    </row>
    <row r="50" spans="1:37" x14ac:dyDescent="0.2">
      <c r="G50" s="21">
        <f>SUM(G36:G47)</f>
        <v>7.8144710426764092</v>
      </c>
      <c r="H50" s="21">
        <f>SUM(H36:H47)</f>
        <v>4.1855289573235925</v>
      </c>
      <c r="I50" s="21"/>
      <c r="J50" s="21"/>
      <c r="K50" s="21"/>
      <c r="L50" s="21"/>
      <c r="M50" s="21"/>
      <c r="N50" s="21"/>
      <c r="O50" s="21"/>
      <c r="P50" s="21"/>
      <c r="Q50" s="21"/>
    </row>
    <row r="53" spans="1:37" ht="48" x14ac:dyDescent="0.2">
      <c r="A53" s="250">
        <v>2</v>
      </c>
      <c r="B53" t="s">
        <v>26</v>
      </c>
      <c r="C53" s="4">
        <f>'Opt 3 - Tier Allocation'!C28</f>
        <v>1283426369.6399999</v>
      </c>
      <c r="D53" s="4"/>
      <c r="F53" s="48" t="s">
        <v>68</v>
      </c>
      <c r="G53" s="47" t="s">
        <v>62</v>
      </c>
      <c r="H53" s="48" t="s">
        <v>55</v>
      </c>
      <c r="I53" s="48" t="s">
        <v>54</v>
      </c>
      <c r="J53" s="48" t="s">
        <v>56</v>
      </c>
    </row>
    <row r="54" spans="1:37" x14ac:dyDescent="0.2">
      <c r="A54" s="250"/>
      <c r="B54" t="s">
        <v>27</v>
      </c>
      <c r="C54" s="6">
        <f>C53*(1+C55)</f>
        <v>1360431951.8183999</v>
      </c>
      <c r="D54" s="6"/>
      <c r="F54" t="s">
        <v>53</v>
      </c>
      <c r="G54" s="7">
        <v>1</v>
      </c>
      <c r="H54" s="4">
        <f>SUMIF(I$62:I$73,G54,E$62:E$73)</f>
        <v>149379904.8295742</v>
      </c>
      <c r="I54" s="1">
        <f>H54/SUM(H$54:H$56)</f>
        <v>0.10848980226640324</v>
      </c>
      <c r="J54" s="6">
        <f>($C$57-$K$75)*I54</f>
        <v>5569546.9504769938</v>
      </c>
      <c r="K54" s="1"/>
      <c r="M54" s="6"/>
      <c r="N54" s="6"/>
    </row>
    <row r="55" spans="1:37" x14ac:dyDescent="0.2">
      <c r="A55" s="250"/>
      <c r="B55" t="s">
        <v>28</v>
      </c>
      <c r="C55" s="19">
        <f>$C$3</f>
        <v>0.06</v>
      </c>
      <c r="D55" s="19"/>
      <c r="F55" s="38" t="s">
        <v>69</v>
      </c>
      <c r="G55" s="7">
        <v>2</v>
      </c>
      <c r="H55" s="4">
        <f>SUMIF(I$62:I$73,G55,E$62:E$73)</f>
        <v>893834004.50813794</v>
      </c>
      <c r="I55" s="1">
        <f>H55/SUM(H$54:H$56)</f>
        <v>0.64916278075494394</v>
      </c>
      <c r="J55" s="6">
        <f>($C$57-$K$75)*I55</f>
        <v>33326105.407019552</v>
      </c>
      <c r="K55" s="1"/>
      <c r="M55" s="6"/>
      <c r="N55" s="6"/>
    </row>
    <row r="56" spans="1:37" x14ac:dyDescent="0.2">
      <c r="A56" s="250"/>
      <c r="B56" t="s">
        <v>16</v>
      </c>
      <c r="C56" s="20">
        <f>$C$4</f>
        <v>0.03</v>
      </c>
      <c r="D56" s="20"/>
      <c r="F56" t="s">
        <v>70</v>
      </c>
      <c r="G56" s="7">
        <v>3</v>
      </c>
      <c r="H56" s="4">
        <f>SUMIF(I$62:I$73,G56,E$62:E$73)</f>
        <v>333688819.84933937</v>
      </c>
      <c r="I56" s="1">
        <f>H56/SUM(H$54:H$56)</f>
        <v>0.24234741697865275</v>
      </c>
      <c r="J56" s="6">
        <f>($C$57-$K$75)*I56</f>
        <v>12441402.684788767</v>
      </c>
      <c r="K56" s="1"/>
      <c r="M56" s="6"/>
      <c r="N56" s="6"/>
    </row>
    <row r="57" spans="1:37" x14ac:dyDescent="0.2">
      <c r="A57" s="250"/>
      <c r="B57" t="s">
        <v>31</v>
      </c>
      <c r="C57" s="6">
        <f>C54-C53</f>
        <v>77005582.17840004</v>
      </c>
      <c r="D57" s="6"/>
    </row>
    <row r="58" spans="1:37" x14ac:dyDescent="0.2">
      <c r="A58" s="250"/>
      <c r="B58" t="s">
        <v>59</v>
      </c>
      <c r="C58" s="16">
        <f>$C$7</f>
        <v>0.66666665999999997</v>
      </c>
      <c r="D58" s="16"/>
      <c r="S58" s="14"/>
      <c r="T58" s="2"/>
      <c r="U58" s="31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</row>
    <row r="59" spans="1:37" x14ac:dyDescent="0.2">
      <c r="A59" s="250"/>
      <c r="B59" t="s">
        <v>48</v>
      </c>
      <c r="C59" s="20">
        <f>((1+$C$4)^A53)-1</f>
        <v>6.0899999999999954E-2</v>
      </c>
      <c r="D59" s="16"/>
    </row>
    <row r="60" spans="1:37" x14ac:dyDescent="0.2">
      <c r="A60" s="250"/>
    </row>
    <row r="61" spans="1:37" ht="49" thickBot="1" x14ac:dyDescent="0.25">
      <c r="A61" s="258" t="s">
        <v>51</v>
      </c>
      <c r="B61" s="22" t="s">
        <v>12</v>
      </c>
      <c r="C61" s="13" t="s">
        <v>15</v>
      </c>
      <c r="D61" s="13" t="s">
        <v>63</v>
      </c>
      <c r="E61" s="13" t="s">
        <v>13</v>
      </c>
      <c r="F61" s="13" t="s">
        <v>29</v>
      </c>
      <c r="G61" s="13" t="s">
        <v>50</v>
      </c>
      <c r="H61" s="13" t="s">
        <v>17</v>
      </c>
      <c r="I61" s="13" t="s">
        <v>52</v>
      </c>
      <c r="J61" s="13" t="s">
        <v>59</v>
      </c>
      <c r="K61" s="13" t="s">
        <v>60</v>
      </c>
      <c r="L61" s="13" t="s">
        <v>61</v>
      </c>
      <c r="M61" s="13" t="s">
        <v>58</v>
      </c>
      <c r="N61" s="13" t="s">
        <v>57</v>
      </c>
      <c r="O61" s="28" t="s">
        <v>25</v>
      </c>
      <c r="P61" s="28"/>
      <c r="Q61" s="28" t="s">
        <v>32</v>
      </c>
    </row>
    <row r="62" spans="1:37" ht="17" thickTop="1" x14ac:dyDescent="0.2">
      <c r="A62" s="258"/>
      <c r="B62" s="14" t="s">
        <v>0</v>
      </c>
      <c r="C62" s="2">
        <f t="shared" ref="C62:C73" si="57">VLOOKUP($B62,$B$9:$O$22,2,FALSE)*(1+$C$59)</f>
        <v>78571333.578405619</v>
      </c>
      <c r="D62" s="2">
        <f t="shared" ref="D62:D73" si="58">VLOOKUP($B62,$B$9:$O$22,3,FALSE)*(1+$C$59)</f>
        <v>15441307.657265536</v>
      </c>
      <c r="E62" s="4">
        <f t="shared" ref="E62:E73" si="59">C62-D62-F62</f>
        <v>16361712.050372362</v>
      </c>
      <c r="F62" s="18">
        <f>'Opt 3 - Tier Allocation'!Q36</f>
        <v>46768313.87076772</v>
      </c>
      <c r="G62" s="1">
        <f t="shared" ref="G62:G73" si="60">1-H62</f>
        <v>0.79175977668693687</v>
      </c>
      <c r="H62" s="1">
        <f t="shared" ref="H62:H73" si="61">MAX(0,E62/C62)</f>
        <v>0.20824022331306313</v>
      </c>
      <c r="I62" s="39">
        <f t="shared" ref="I62:I73" si="62">IF(H62&lt;0.15,1,IF(H62&gt;0.46,3,2))</f>
        <v>2</v>
      </c>
      <c r="J62" s="41">
        <f t="shared" ref="J62:J73" si="63">MIN($C$4,($C$3*0.5))*$C$7</f>
        <v>1.9999999799999998E-2</v>
      </c>
      <c r="K62" s="4">
        <f t="shared" ref="K62:K73" si="64">J62*F62</f>
        <v>935366.26806169155</v>
      </c>
      <c r="L62" s="40">
        <f t="shared" ref="L62:L73" si="65">H62/SUMIF($I$62:$I$73,I62,$H$62:$H$73)</f>
        <v>7.4539903752237902E-2</v>
      </c>
      <c r="M62" s="39">
        <f t="shared" ref="M62:M73" si="66">L62*VLOOKUP(I62,$G$53:$J$56,4,FALSE)</f>
        <v>2484124.6894761724</v>
      </c>
      <c r="N62" s="40">
        <f t="shared" ref="N62:N73" si="67">M62/SUM($M$62:$M$73)</f>
        <v>4.8388531197008644E-2</v>
      </c>
      <c r="O62" s="16">
        <f t="shared" ref="O62:O73" si="68">(K62+M62)/F62</f>
        <v>7.3115549279513331E-2</v>
      </c>
      <c r="P62" s="18"/>
      <c r="Q62" s="18">
        <f t="shared" ref="Q62:Q73" si="69">M62+K62+F62</f>
        <v>50187804.828305587</v>
      </c>
    </row>
    <row r="63" spans="1:37" ht="16" x14ac:dyDescent="0.2">
      <c r="A63" s="258"/>
      <c r="B63" s="14" t="s">
        <v>1</v>
      </c>
      <c r="C63" s="2">
        <f t="shared" si="57"/>
        <v>175012877.01990789</v>
      </c>
      <c r="D63" s="2">
        <f t="shared" si="58"/>
        <v>58596964.427899301</v>
      </c>
      <c r="E63" s="4">
        <f t="shared" si="59"/>
        <v>62900775.232732512</v>
      </c>
      <c r="F63" s="18">
        <f>'Opt 3 - Tier Allocation'!Q37</f>
        <v>53515137.359276079</v>
      </c>
      <c r="G63" s="1">
        <f t="shared" si="60"/>
        <v>0.64059344487218794</v>
      </c>
      <c r="H63" s="1">
        <f t="shared" si="61"/>
        <v>0.359406555127812</v>
      </c>
      <c r="I63" s="39">
        <f t="shared" si="62"/>
        <v>2</v>
      </c>
      <c r="J63" s="41">
        <f t="shared" si="63"/>
        <v>1.9999999799999998E-2</v>
      </c>
      <c r="K63" s="4">
        <f t="shared" si="64"/>
        <v>1070302.736482494</v>
      </c>
      <c r="L63" s="40">
        <f t="shared" si="65"/>
        <v>0.12865012148433438</v>
      </c>
      <c r="M63" s="39">
        <f t="shared" si="66"/>
        <v>4287407.5092127984</v>
      </c>
      <c r="N63" s="40">
        <f t="shared" si="67"/>
        <v>8.3514870607231881E-2</v>
      </c>
      <c r="O63" s="16">
        <f t="shared" si="68"/>
        <v>0.10011578985074979</v>
      </c>
      <c r="P63" s="18"/>
      <c r="Q63" s="18">
        <f t="shared" si="69"/>
        <v>58872847.604971372</v>
      </c>
    </row>
    <row r="64" spans="1:37" ht="16" x14ac:dyDescent="0.2">
      <c r="A64" s="258"/>
      <c r="B64" s="14" t="s">
        <v>2</v>
      </c>
      <c r="C64" s="2">
        <f t="shared" si="57"/>
        <v>118662129.50356041</v>
      </c>
      <c r="D64" s="2">
        <f t="shared" si="58"/>
        <v>29968501.293171458</v>
      </c>
      <c r="E64" s="4">
        <f t="shared" si="59"/>
        <v>54274112.828977026</v>
      </c>
      <c r="F64" s="18">
        <f>'Opt 3 - Tier Allocation'!Q38</f>
        <v>34419515.381411932</v>
      </c>
      <c r="G64" s="1">
        <f t="shared" si="60"/>
        <v>0.54261639281175589</v>
      </c>
      <c r="H64" s="1">
        <f t="shared" si="61"/>
        <v>0.45738360718824411</v>
      </c>
      <c r="I64" s="39">
        <f t="shared" si="62"/>
        <v>2</v>
      </c>
      <c r="J64" s="41">
        <f t="shared" si="63"/>
        <v>1.9999999799999998E-2</v>
      </c>
      <c r="K64" s="4">
        <f t="shared" si="64"/>
        <v>688390.30074433552</v>
      </c>
      <c r="L64" s="40">
        <f t="shared" si="65"/>
        <v>0.16372115586145933</v>
      </c>
      <c r="M64" s="39">
        <f t="shared" si="66"/>
        <v>5456188.4975980707</v>
      </c>
      <c r="N64" s="40">
        <f t="shared" si="67"/>
        <v>0.10628168080743855</v>
      </c>
      <c r="O64" s="16">
        <f t="shared" si="68"/>
        <v>0.17852020082946174</v>
      </c>
      <c r="P64" s="18"/>
      <c r="Q64" s="18">
        <f t="shared" si="69"/>
        <v>40564094.179754339</v>
      </c>
    </row>
    <row r="65" spans="1:17" ht="16" x14ac:dyDescent="0.2">
      <c r="A65" s="258"/>
      <c r="B65" s="14" t="s">
        <v>3</v>
      </c>
      <c r="C65" s="2">
        <f t="shared" si="57"/>
        <v>506894761.0456152</v>
      </c>
      <c r="D65" s="2">
        <f t="shared" si="58"/>
        <v>181870638.39211482</v>
      </c>
      <c r="E65" s="4">
        <f t="shared" si="59"/>
        <v>241154414.65742946</v>
      </c>
      <c r="F65" s="18">
        <f>'Opt 3 - Tier Allocation'!Q39</f>
        <v>83869707.996070936</v>
      </c>
      <c r="G65" s="1">
        <f t="shared" si="60"/>
        <v>0.52425151492988475</v>
      </c>
      <c r="H65" s="1">
        <f t="shared" si="61"/>
        <v>0.47574848507011519</v>
      </c>
      <c r="I65" s="39">
        <f t="shared" si="62"/>
        <v>3</v>
      </c>
      <c r="J65" s="41">
        <f t="shared" si="63"/>
        <v>1.9999999799999998E-2</v>
      </c>
      <c r="K65" s="4">
        <f t="shared" si="64"/>
        <v>1677394.1431474769</v>
      </c>
      <c r="L65" s="40">
        <f t="shared" si="65"/>
        <v>0.47250894380111147</v>
      </c>
      <c r="M65" s="39">
        <f t="shared" si="66"/>
        <v>5878674.0419938527</v>
      </c>
      <c r="N65" s="40">
        <f t="shared" si="67"/>
        <v>0.11451132202951077</v>
      </c>
      <c r="O65" s="16">
        <f t="shared" si="68"/>
        <v>9.0092935407564675E-2</v>
      </c>
      <c r="P65" s="18"/>
      <c r="Q65" s="18">
        <f t="shared" si="69"/>
        <v>91425776.181212261</v>
      </c>
    </row>
    <row r="66" spans="1:17" ht="16" x14ac:dyDescent="0.2">
      <c r="A66" s="258"/>
      <c r="B66" s="14" t="s">
        <v>4</v>
      </c>
      <c r="C66" s="2">
        <f t="shared" si="57"/>
        <v>174229125.43011662</v>
      </c>
      <c r="D66" s="2">
        <f t="shared" si="58"/>
        <v>32870694.152320586</v>
      </c>
      <c r="E66" s="4">
        <f t="shared" si="59"/>
        <v>92534405.191909879</v>
      </c>
      <c r="F66" s="18">
        <f>'Opt 3 - Tier Allocation'!Q40</f>
        <v>48824026.085886143</v>
      </c>
      <c r="G66" s="1">
        <f t="shared" si="60"/>
        <v>0.46889244284805032</v>
      </c>
      <c r="H66" s="1">
        <f t="shared" si="61"/>
        <v>0.53110755715194968</v>
      </c>
      <c r="I66" s="39">
        <f t="shared" si="62"/>
        <v>3</v>
      </c>
      <c r="J66" s="41">
        <f t="shared" si="63"/>
        <v>1.9999999799999998E-2</v>
      </c>
      <c r="K66" s="4">
        <f t="shared" si="64"/>
        <v>976480.51195291756</v>
      </c>
      <c r="L66" s="40">
        <f t="shared" si="65"/>
        <v>0.52749105619888847</v>
      </c>
      <c r="M66" s="39">
        <f t="shared" si="66"/>
        <v>6562728.6427949136</v>
      </c>
      <c r="N66" s="40">
        <f t="shared" si="67"/>
        <v>0.127836094949142</v>
      </c>
      <c r="O66" s="16">
        <f t="shared" si="68"/>
        <v>0.15441596605502461</v>
      </c>
      <c r="P66" s="18"/>
      <c r="Q66" s="18">
        <f t="shared" si="69"/>
        <v>56363235.240633972</v>
      </c>
    </row>
    <row r="67" spans="1:17" ht="16" x14ac:dyDescent="0.2">
      <c r="A67" s="258"/>
      <c r="B67" s="14" t="s">
        <v>5</v>
      </c>
      <c r="C67" s="2">
        <f t="shared" si="57"/>
        <v>432807552.14476663</v>
      </c>
      <c r="D67" s="2">
        <f t="shared" si="58"/>
        <v>137342887.35583028</v>
      </c>
      <c r="E67" s="4">
        <f t="shared" si="59"/>
        <v>191226434.84604204</v>
      </c>
      <c r="F67" s="18">
        <f>'Opt 3 - Tier Allocation'!Q41</f>
        <v>104238229.94289434</v>
      </c>
      <c r="G67" s="1">
        <f t="shared" si="60"/>
        <v>0.55817213932976817</v>
      </c>
      <c r="H67" s="1">
        <f t="shared" si="61"/>
        <v>0.44182786067023183</v>
      </c>
      <c r="I67" s="39">
        <f t="shared" si="62"/>
        <v>2</v>
      </c>
      <c r="J67" s="41">
        <f t="shared" si="63"/>
        <v>1.9999999799999998E-2</v>
      </c>
      <c r="K67" s="4">
        <f t="shared" si="64"/>
        <v>2084764.5780102406</v>
      </c>
      <c r="L67" s="40">
        <f t="shared" si="65"/>
        <v>0.15815295280347641</v>
      </c>
      <c r="M67" s="39">
        <f t="shared" si="66"/>
        <v>5270621.975560043</v>
      </c>
      <c r="N67" s="40">
        <f t="shared" si="67"/>
        <v>0.10266701062651017</v>
      </c>
      <c r="O67" s="16">
        <f t="shared" si="68"/>
        <v>7.0563233447074492E-2</v>
      </c>
      <c r="P67" s="18"/>
      <c r="Q67" s="18">
        <f t="shared" si="69"/>
        <v>111593616.49646463</v>
      </c>
    </row>
    <row r="68" spans="1:17" ht="16" x14ac:dyDescent="0.2">
      <c r="A68" s="258"/>
      <c r="B68" s="14" t="s">
        <v>6</v>
      </c>
      <c r="C68" s="2">
        <f t="shared" si="57"/>
        <v>313342479.86482418</v>
      </c>
      <c r="D68" s="2">
        <f t="shared" si="58"/>
        <v>136793926.60332507</v>
      </c>
      <c r="E68" s="4">
        <f t="shared" si="59"/>
        <v>30094945.110106081</v>
      </c>
      <c r="F68" s="18">
        <f>'Opt 3 - Tier Allocation'!Q42</f>
        <v>146453608.15139303</v>
      </c>
      <c r="G68" s="1">
        <f t="shared" si="60"/>
        <v>0.90395510649213917</v>
      </c>
      <c r="H68" s="1">
        <f t="shared" si="61"/>
        <v>9.6044893507860885E-2</v>
      </c>
      <c r="I68" s="39">
        <f t="shared" si="62"/>
        <v>1</v>
      </c>
      <c r="J68" s="41">
        <f t="shared" si="63"/>
        <v>1.9999999799999998E-2</v>
      </c>
      <c r="K68" s="4">
        <f t="shared" si="64"/>
        <v>2929072.1337371385</v>
      </c>
      <c r="L68" s="40">
        <f t="shared" si="65"/>
        <v>0.51506328641291732</v>
      </c>
      <c r="M68" s="39">
        <f t="shared" si="66"/>
        <v>2868669.1561437221</v>
      </c>
      <c r="N68" s="40">
        <f t="shared" si="67"/>
        <v>5.5879114097621231E-2</v>
      </c>
      <c r="O68" s="16">
        <f t="shared" si="68"/>
        <v>3.9587561979951905E-2</v>
      </c>
      <c r="P68" s="18"/>
      <c r="Q68" s="18">
        <f t="shared" si="69"/>
        <v>152251349.4412739</v>
      </c>
    </row>
    <row r="69" spans="1:17" ht="16" x14ac:dyDescent="0.2">
      <c r="A69" s="258"/>
      <c r="B69" s="14" t="s">
        <v>7</v>
      </c>
      <c r="C69" s="2">
        <f t="shared" si="57"/>
        <v>348879388.35748911</v>
      </c>
      <c r="D69" s="2">
        <f t="shared" si="58"/>
        <v>140068204.2980656</v>
      </c>
      <c r="E69" s="4">
        <f t="shared" si="59"/>
        <v>133749262.55082898</v>
      </c>
      <c r="F69" s="18">
        <f>'Opt 3 - Tier Allocation'!Q43</f>
        <v>75061921.508594528</v>
      </c>
      <c r="G69" s="1">
        <f t="shared" si="60"/>
        <v>0.61663180166499543</v>
      </c>
      <c r="H69" s="1">
        <f t="shared" si="61"/>
        <v>0.38336819833500457</v>
      </c>
      <c r="I69" s="39">
        <f t="shared" si="62"/>
        <v>2</v>
      </c>
      <c r="J69" s="41">
        <f t="shared" si="63"/>
        <v>1.9999999799999998E-2</v>
      </c>
      <c r="K69" s="4">
        <f t="shared" si="64"/>
        <v>1501238.415159506</v>
      </c>
      <c r="L69" s="40">
        <f t="shared" si="65"/>
        <v>0.13722722801060055</v>
      </c>
      <c r="M69" s="39">
        <f t="shared" si="66"/>
        <v>4573249.0653943801</v>
      </c>
      <c r="N69" s="40">
        <f t="shared" si="67"/>
        <v>8.9082808930654206E-2</v>
      </c>
      <c r="O69" s="16">
        <f t="shared" si="68"/>
        <v>8.0926351983386977E-2</v>
      </c>
      <c r="P69" s="18"/>
      <c r="Q69" s="18">
        <f t="shared" si="69"/>
        <v>81136408.989148408</v>
      </c>
    </row>
    <row r="70" spans="1:17" ht="16" x14ac:dyDescent="0.2">
      <c r="A70" s="258"/>
      <c r="B70" s="14" t="s">
        <v>8</v>
      </c>
      <c r="C70" s="2">
        <f t="shared" si="57"/>
        <v>965936017.77097023</v>
      </c>
      <c r="D70" s="2">
        <f t="shared" si="58"/>
        <v>356379677.85182327</v>
      </c>
      <c r="E70" s="4">
        <f t="shared" si="59"/>
        <v>338603113.66886783</v>
      </c>
      <c r="F70" s="18">
        <f>'Opt 3 - Tier Allocation'!Q44</f>
        <v>270953226.25027919</v>
      </c>
      <c r="G70" s="1">
        <f t="shared" si="60"/>
        <v>0.64945596039555409</v>
      </c>
      <c r="H70" s="1">
        <f t="shared" si="61"/>
        <v>0.35054403960444597</v>
      </c>
      <c r="I70" s="39">
        <f t="shared" si="62"/>
        <v>2</v>
      </c>
      <c r="J70" s="41">
        <f t="shared" si="63"/>
        <v>1.9999999799999998E-2</v>
      </c>
      <c r="K70" s="4">
        <f t="shared" si="64"/>
        <v>5419064.4708149377</v>
      </c>
      <c r="L70" s="40">
        <f t="shared" si="65"/>
        <v>0.12547777061184578</v>
      </c>
      <c r="M70" s="39">
        <f t="shared" si="66"/>
        <v>4181685.409648193</v>
      </c>
      <c r="N70" s="40">
        <f t="shared" si="67"/>
        <v>8.1455498493316805E-2</v>
      </c>
      <c r="O70" s="16">
        <f t="shared" si="68"/>
        <v>3.543323699565374E-2</v>
      </c>
      <c r="P70" s="18"/>
      <c r="Q70" s="18">
        <f t="shared" si="69"/>
        <v>280553976.13074231</v>
      </c>
    </row>
    <row r="71" spans="1:17" ht="16" x14ac:dyDescent="0.2">
      <c r="A71" s="258"/>
      <c r="B71" s="14" t="s">
        <v>9</v>
      </c>
      <c r="C71" s="2">
        <f t="shared" si="57"/>
        <v>98351176.471432075</v>
      </c>
      <c r="D71" s="2">
        <f t="shared" si="58"/>
        <v>42402101.287909366</v>
      </c>
      <c r="E71" s="4">
        <f t="shared" si="59"/>
        <v>23644639.431143057</v>
      </c>
      <c r="F71" s="18">
        <f>'Opt 3 - Tier Allocation'!Q45</f>
        <v>32304435.752379652</v>
      </c>
      <c r="G71" s="1">
        <f t="shared" si="60"/>
        <v>0.75958966349516843</v>
      </c>
      <c r="H71" s="1">
        <f t="shared" si="61"/>
        <v>0.24041033650483154</v>
      </c>
      <c r="I71" s="39">
        <f t="shared" si="62"/>
        <v>2</v>
      </c>
      <c r="J71" s="41">
        <f t="shared" si="63"/>
        <v>1.9999999799999998E-2</v>
      </c>
      <c r="K71" s="4">
        <f t="shared" si="64"/>
        <v>646088.70858670585</v>
      </c>
      <c r="L71" s="40">
        <f t="shared" si="65"/>
        <v>8.6055244558456631E-2</v>
      </c>
      <c r="M71" s="39">
        <f t="shared" si="66"/>
        <v>2867886.1509819715</v>
      </c>
      <c r="N71" s="40">
        <f t="shared" si="67"/>
        <v>5.5863861856114479E-2</v>
      </c>
      <c r="O71" s="16">
        <f t="shared" si="68"/>
        <v>0.10877685301498653</v>
      </c>
      <c r="P71" s="18"/>
      <c r="Q71" s="18">
        <f t="shared" si="69"/>
        <v>35818410.611948326</v>
      </c>
    </row>
    <row r="72" spans="1:17" ht="16" x14ac:dyDescent="0.2">
      <c r="A72" s="258"/>
      <c r="B72" s="14" t="s">
        <v>10</v>
      </c>
      <c r="C72" s="2">
        <f t="shared" si="57"/>
        <v>1319127999.1330993</v>
      </c>
      <c r="D72" s="2">
        <f t="shared" si="58"/>
        <v>874637038.61592042</v>
      </c>
      <c r="E72" s="4">
        <f t="shared" si="59"/>
        <v>119284959.71946812</v>
      </c>
      <c r="F72" s="18">
        <f>'Opt 3 - Tier Allocation'!Q46</f>
        <v>325206000.79771078</v>
      </c>
      <c r="G72" s="1">
        <f t="shared" si="60"/>
        <v>0.90957286950329352</v>
      </c>
      <c r="H72" s="1">
        <f t="shared" si="61"/>
        <v>9.0427130496706504E-2</v>
      </c>
      <c r="I72" s="39">
        <f t="shared" si="62"/>
        <v>1</v>
      </c>
      <c r="J72" s="41">
        <f t="shared" si="63"/>
        <v>1.9999999799999998E-2</v>
      </c>
      <c r="K72" s="4">
        <f t="shared" si="64"/>
        <v>6504119.9509130148</v>
      </c>
      <c r="L72" s="40">
        <f t="shared" si="65"/>
        <v>0.48493671358708268</v>
      </c>
      <c r="M72" s="39">
        <f t="shared" si="66"/>
        <v>2700877.7943332717</v>
      </c>
      <c r="N72" s="40">
        <f t="shared" si="67"/>
        <v>5.2610688168782033E-2</v>
      </c>
      <c r="O72" s="16">
        <f t="shared" si="68"/>
        <v>2.8305128818862449E-2</v>
      </c>
      <c r="P72" s="18"/>
      <c r="Q72" s="18">
        <f t="shared" si="69"/>
        <v>334410998.54295707</v>
      </c>
    </row>
    <row r="73" spans="1:17" ht="16" x14ac:dyDescent="0.2">
      <c r="A73" s="258"/>
      <c r="B73" s="14" t="s">
        <v>11</v>
      </c>
      <c r="C73" s="2">
        <f t="shared" si="57"/>
        <v>207305753.81683546</v>
      </c>
      <c r="D73" s="2">
        <f t="shared" si="58"/>
        <v>72419553.374325529</v>
      </c>
      <c r="E73" s="4">
        <f t="shared" si="59"/>
        <v>73073953.899174169</v>
      </c>
      <c r="F73" s="18">
        <f>'Opt 3 - Tier Allocation'!Q47</f>
        <v>61812246.543335781</v>
      </c>
      <c r="G73" s="1">
        <f t="shared" si="60"/>
        <v>0.64750638825134343</v>
      </c>
      <c r="H73" s="1">
        <f t="shared" si="61"/>
        <v>0.35249361174865651</v>
      </c>
      <c r="I73" s="39">
        <f t="shared" si="62"/>
        <v>2</v>
      </c>
      <c r="J73" s="41">
        <f t="shared" si="63"/>
        <v>1.9999999799999998E-2</v>
      </c>
      <c r="K73" s="4">
        <f t="shared" si="64"/>
        <v>1236244.9185042661</v>
      </c>
      <c r="L73" s="40">
        <f t="shared" si="65"/>
        <v>0.12617562291758896</v>
      </c>
      <c r="M73" s="39">
        <f t="shared" si="66"/>
        <v>4204942.1091479212</v>
      </c>
      <c r="N73" s="40">
        <f t="shared" si="67"/>
        <v>8.1908518236669295E-2</v>
      </c>
      <c r="O73" s="16">
        <f t="shared" si="68"/>
        <v>8.8027653611286241E-2</v>
      </c>
      <c r="P73" s="18"/>
      <c r="Q73" s="18">
        <f t="shared" si="69"/>
        <v>67253433.57098797</v>
      </c>
    </row>
    <row r="74" spans="1:17" x14ac:dyDescent="0.2">
      <c r="A74" s="258"/>
      <c r="B74" s="14"/>
      <c r="C74" s="2"/>
      <c r="D74" s="2"/>
      <c r="E74" s="4"/>
      <c r="G74" s="1"/>
      <c r="H74" s="1"/>
      <c r="I74" s="39"/>
      <c r="J74" s="39"/>
      <c r="K74" s="39"/>
      <c r="L74" s="39"/>
      <c r="M74" s="39"/>
      <c r="N74" s="39"/>
      <c r="O74" s="16"/>
      <c r="P74" s="16"/>
      <c r="Q74" s="16"/>
    </row>
    <row r="75" spans="1:17" x14ac:dyDescent="0.2">
      <c r="A75" s="258"/>
      <c r="B75" s="15" t="s">
        <v>14</v>
      </c>
      <c r="C75" s="30">
        <f>SUM(C62:C73)</f>
        <v>4739120594.137023</v>
      </c>
      <c r="D75" s="30">
        <f>SUM(D62:D73)</f>
        <v>2078791495.3099711</v>
      </c>
      <c r="E75" s="30">
        <f>SUM(E62:E73)</f>
        <v>1376902729.1870515</v>
      </c>
      <c r="F75" s="30">
        <f>SUM(F62:F73)</f>
        <v>1283426369.6400001</v>
      </c>
      <c r="G75" s="11">
        <f>1-H75</f>
        <v>0.70946028871042466</v>
      </c>
      <c r="H75" s="11">
        <f>MAX(0,E75/C75)</f>
        <v>0.29053971128957534</v>
      </c>
      <c r="I75" s="11"/>
      <c r="J75" s="11"/>
      <c r="K75" s="30">
        <f>SUM(K62:K73)</f>
        <v>25668527.136114724</v>
      </c>
      <c r="L75" s="11"/>
      <c r="M75" s="30">
        <f>SUM(M62:M73)</f>
        <v>51337055.042285308</v>
      </c>
      <c r="N75" s="11"/>
      <c r="O75" s="16"/>
      <c r="P75" s="16"/>
      <c r="Q75" s="30">
        <f>SUM(Q62:Q73)</f>
        <v>1360431951.8184001</v>
      </c>
    </row>
    <row r="76" spans="1:17" x14ac:dyDescent="0.2">
      <c r="C76" s="30"/>
      <c r="D76" s="30"/>
      <c r="E76" s="30"/>
      <c r="F76" s="30"/>
      <c r="G76" s="21">
        <f>SUM(G62:G73)</f>
        <v>8.0129975012810775</v>
      </c>
      <c r="H76" s="21">
        <f>SUM(H62:H73)</f>
        <v>3.9870024987189221</v>
      </c>
      <c r="I76" s="21"/>
      <c r="J76" s="21"/>
      <c r="K76" s="21"/>
      <c r="L76" s="21"/>
      <c r="M76" s="21"/>
      <c r="N76" s="21"/>
      <c r="O76" s="21"/>
      <c r="P76" s="21"/>
      <c r="Q76" s="21"/>
    </row>
    <row r="79" spans="1:17" ht="48" x14ac:dyDescent="0.2">
      <c r="A79" s="257">
        <v>3</v>
      </c>
      <c r="B79" t="s">
        <v>26</v>
      </c>
      <c r="C79" s="4">
        <f>'Opt 3 - Tier Allocation'!C54</f>
        <v>1360431951.8183999</v>
      </c>
      <c r="D79" s="4"/>
      <c r="F79" s="48" t="s">
        <v>68</v>
      </c>
      <c r="G79" s="47" t="s">
        <v>62</v>
      </c>
      <c r="H79" s="48" t="s">
        <v>55</v>
      </c>
      <c r="I79" s="48" t="s">
        <v>54</v>
      </c>
      <c r="J79" s="48" t="s">
        <v>56</v>
      </c>
    </row>
    <row r="80" spans="1:17" x14ac:dyDescent="0.2">
      <c r="A80" s="257"/>
      <c r="B80" t="s">
        <v>27</v>
      </c>
      <c r="C80" s="6">
        <f>C79*(1+C81)</f>
        <v>1442057868.9275041</v>
      </c>
      <c r="D80" s="6"/>
      <c r="F80" t="s">
        <v>53</v>
      </c>
      <c r="G80" s="7">
        <v>1</v>
      </c>
      <c r="H80" s="4">
        <f>SUMIF(I$88:I$99,G80,E$88:E$99)</f>
        <v>153008351.20780742</v>
      </c>
      <c r="I80" s="1">
        <f>H80/SUM(H$80:H$82)</f>
        <v>0.11089916119347595</v>
      </c>
      <c r="J80" s="6">
        <f>($C$83-$K$101)*I80</f>
        <v>6034830.5228727246</v>
      </c>
      <c r="K80" s="1"/>
      <c r="M80" s="6"/>
      <c r="N80" s="6"/>
    </row>
    <row r="81" spans="1:37" x14ac:dyDescent="0.2">
      <c r="A81" s="257"/>
      <c r="B81" t="s">
        <v>28</v>
      </c>
      <c r="C81" s="19">
        <f>$C$3</f>
        <v>0.06</v>
      </c>
      <c r="D81" s="19"/>
      <c r="F81" s="38" t="s">
        <v>69</v>
      </c>
      <c r="G81" s="7">
        <v>2</v>
      </c>
      <c r="H81" s="4">
        <f>SUMIF(I$88:I$99,G81,E$88:E$99)</f>
        <v>894113649.63826656</v>
      </c>
      <c r="I81" s="1">
        <f>H81/SUM(H$80:H$82)</f>
        <v>0.64804602476797124</v>
      </c>
      <c r="J81" s="6">
        <f>($C$83-$K$101)*I81</f>
        <v>35264900.91005446</v>
      </c>
      <c r="K81" s="1"/>
      <c r="M81" s="6"/>
      <c r="N81" s="6"/>
    </row>
    <row r="82" spans="1:37" x14ac:dyDescent="0.2">
      <c r="A82" s="257"/>
      <c r="B82" t="s">
        <v>16</v>
      </c>
      <c r="C82" s="20">
        <f>$C$4</f>
        <v>0.03</v>
      </c>
      <c r="D82" s="20"/>
      <c r="F82" t="s">
        <v>70</v>
      </c>
      <c r="G82" s="7">
        <v>3</v>
      </c>
      <c r="H82" s="4">
        <f>SUMIF(I$88:I$99,G82,E$88:E$99)</f>
        <v>332585019.12738919</v>
      </c>
      <c r="I82" s="1">
        <f>H82/SUM(H$80:H$82)</f>
        <v>0.24105481403855294</v>
      </c>
      <c r="J82" s="6">
        <f>($C$83-$K$101)*I82</f>
        <v>13117546.911895376</v>
      </c>
      <c r="K82" s="1"/>
      <c r="M82" s="6"/>
      <c r="N82" s="6"/>
    </row>
    <row r="83" spans="1:37" x14ac:dyDescent="0.2">
      <c r="A83" s="257"/>
      <c r="B83" t="s">
        <v>31</v>
      </c>
      <c r="C83" s="6">
        <f>C80-C79</f>
        <v>81625917.109104156</v>
      </c>
      <c r="D83" s="6"/>
    </row>
    <row r="84" spans="1:37" x14ac:dyDescent="0.2">
      <c r="A84" s="257"/>
      <c r="B84" t="s">
        <v>59</v>
      </c>
      <c r="C84" s="16">
        <f>$C$7</f>
        <v>0.66666665999999997</v>
      </c>
      <c r="D84" s="16"/>
      <c r="S84" s="14"/>
      <c r="T84" s="2"/>
      <c r="U84" s="31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</row>
    <row r="85" spans="1:37" x14ac:dyDescent="0.2">
      <c r="A85" s="257"/>
      <c r="B85" t="s">
        <v>48</v>
      </c>
      <c r="C85" s="20">
        <f>((1+$C$4)^A79)-1</f>
        <v>9.2727000000000004E-2</v>
      </c>
      <c r="D85" s="16"/>
    </row>
    <row r="86" spans="1:37" x14ac:dyDescent="0.2">
      <c r="A86" s="257"/>
    </row>
    <row r="87" spans="1:37" ht="49" thickBot="1" x14ac:dyDescent="0.25">
      <c r="A87" s="258" t="s">
        <v>51</v>
      </c>
      <c r="B87" s="22" t="s">
        <v>12</v>
      </c>
      <c r="C87" s="13" t="s">
        <v>15</v>
      </c>
      <c r="D87" s="13" t="s">
        <v>63</v>
      </c>
      <c r="E87" s="13" t="s">
        <v>13</v>
      </c>
      <c r="F87" s="13" t="s">
        <v>29</v>
      </c>
      <c r="G87" s="13" t="s">
        <v>50</v>
      </c>
      <c r="H87" s="13" t="s">
        <v>17</v>
      </c>
      <c r="I87" s="13" t="s">
        <v>52</v>
      </c>
      <c r="J87" s="13" t="s">
        <v>59</v>
      </c>
      <c r="K87" s="13" t="s">
        <v>60</v>
      </c>
      <c r="L87" s="13" t="s">
        <v>61</v>
      </c>
      <c r="M87" s="13" t="s">
        <v>58</v>
      </c>
      <c r="N87" s="13" t="s">
        <v>57</v>
      </c>
      <c r="O87" s="28" t="s">
        <v>25</v>
      </c>
      <c r="P87" s="28"/>
      <c r="Q87" s="28" t="s">
        <v>32</v>
      </c>
    </row>
    <row r="88" spans="1:37" ht="17" thickTop="1" x14ac:dyDescent="0.2">
      <c r="A88" s="258"/>
      <c r="B88" s="14" t="s">
        <v>0</v>
      </c>
      <c r="C88" s="2">
        <f t="shared" ref="C88:C99" si="70">VLOOKUP($B88,$B$9:$O$22,2,FALSE)*(1+$C$85)</f>
        <v>80928473.585757792</v>
      </c>
      <c r="D88" s="2">
        <f t="shared" ref="D88:D99" si="71">VLOOKUP($B88,$B$9:$O$22,3,FALSE)*(1+$C$85)</f>
        <v>15904546.886983503</v>
      </c>
      <c r="E88" s="4">
        <f t="shared" ref="E88:E99" si="72">C88-D88-F88</f>
        <v>14836121.870468706</v>
      </c>
      <c r="F88" s="18">
        <f>'Opt 3 - Tier Allocation'!Q62</f>
        <v>50187804.828305587</v>
      </c>
      <c r="G88" s="1">
        <f t="shared" ref="G88:G99" si="73">1-H88</f>
        <v>0.81667611888481684</v>
      </c>
      <c r="H88" s="1">
        <f t="shared" ref="H88:H99" si="74">MAX(0,E88/C88)</f>
        <v>0.18332388111518322</v>
      </c>
      <c r="I88" s="39">
        <f t="shared" ref="I88:I99" si="75">IF(H88&lt;0.15,1,IF(H88&gt;0.46,3,2))</f>
        <v>2</v>
      </c>
      <c r="J88" s="41">
        <f t="shared" ref="J88:J99" si="76">MIN($C$4,($C$3*0.5))*$C$7</f>
        <v>1.9999999799999998E-2</v>
      </c>
      <c r="K88" s="4">
        <f t="shared" ref="K88:K99" si="77">J88*F88</f>
        <v>1003756.0865285507</v>
      </c>
      <c r="L88" s="40">
        <f t="shared" ref="L88:L99" si="78">H88/SUMIF($I$88:$I$99,I88,$H$88:$H$99)</f>
        <v>6.9372662440862584E-2</v>
      </c>
      <c r="M88" s="39">
        <f t="shared" ref="M88:M99" si="79">L88*VLOOKUP(I88,$G$79:$J$82,4,FALSE)</f>
        <v>2446420.0668436759</v>
      </c>
      <c r="N88" s="40">
        <f t="shared" ref="N88:N99" si="80">M88/SUM($M$88:$M$99)</f>
        <v>4.4956678122371335E-2</v>
      </c>
      <c r="O88" s="16">
        <f t="shared" ref="O88:O99" si="81">(K88+M88)/F88</f>
        <v>6.874530904819233E-2</v>
      </c>
      <c r="P88" s="18"/>
      <c r="Q88" s="18">
        <f t="shared" ref="Q88:Q99" si="82">M88+K88+F88</f>
        <v>53637980.981677815</v>
      </c>
    </row>
    <row r="89" spans="1:37" ht="16" x14ac:dyDescent="0.2">
      <c r="A89" s="258"/>
      <c r="B89" s="14" t="s">
        <v>1</v>
      </c>
      <c r="C89" s="2">
        <f t="shared" si="70"/>
        <v>180263263.33050513</v>
      </c>
      <c r="D89" s="2">
        <f t="shared" si="71"/>
        <v>60354873.360736288</v>
      </c>
      <c r="E89" s="4">
        <f t="shared" si="72"/>
        <v>61035542.36479748</v>
      </c>
      <c r="F89" s="18">
        <f>'Opt 3 - Tier Allocation'!Q63</f>
        <v>58872847.604971372</v>
      </c>
      <c r="G89" s="1">
        <f t="shared" si="73"/>
        <v>0.6614088681347603</v>
      </c>
      <c r="H89" s="1">
        <f t="shared" si="74"/>
        <v>0.33859113186523965</v>
      </c>
      <c r="I89" s="39">
        <f t="shared" si="75"/>
        <v>2</v>
      </c>
      <c r="J89" s="41">
        <f t="shared" si="76"/>
        <v>1.9999999799999998E-2</v>
      </c>
      <c r="K89" s="4">
        <f t="shared" si="77"/>
        <v>1177456.9403248578</v>
      </c>
      <c r="L89" s="40">
        <f t="shared" si="78"/>
        <v>0.12812825123202926</v>
      </c>
      <c r="M89" s="39">
        <f t="shared" si="79"/>
        <v>4518430.083476075</v>
      </c>
      <c r="N89" s="40">
        <f t="shared" si="80"/>
        <v>8.3033003871388456E-2</v>
      </c>
      <c r="O89" s="16">
        <f t="shared" si="81"/>
        <v>9.6748964174784666E-2</v>
      </c>
      <c r="P89" s="18"/>
      <c r="Q89" s="18">
        <f t="shared" si="82"/>
        <v>64568734.628772303</v>
      </c>
    </row>
    <row r="90" spans="1:37" ht="16" x14ac:dyDescent="0.2">
      <c r="A90" s="258"/>
      <c r="B90" s="14" t="s">
        <v>2</v>
      </c>
      <c r="C90" s="2">
        <f t="shared" si="70"/>
        <v>122221993.38866723</v>
      </c>
      <c r="D90" s="2">
        <f t="shared" si="71"/>
        <v>30867556.331966605</v>
      </c>
      <c r="E90" s="4">
        <f t="shared" si="72"/>
        <v>50790342.876946278</v>
      </c>
      <c r="F90" s="18">
        <f>'Opt 3 - Tier Allocation'!Q64</f>
        <v>40564094.179754339</v>
      </c>
      <c r="G90" s="1">
        <f t="shared" si="73"/>
        <v>0.58444187114971646</v>
      </c>
      <c r="H90" s="1">
        <f t="shared" si="74"/>
        <v>0.41555812885028354</v>
      </c>
      <c r="I90" s="39">
        <f t="shared" si="75"/>
        <v>2</v>
      </c>
      <c r="J90" s="41">
        <f t="shared" si="76"/>
        <v>1.9999999799999998E-2</v>
      </c>
      <c r="K90" s="4">
        <f t="shared" si="77"/>
        <v>811281.87548226782</v>
      </c>
      <c r="L90" s="40">
        <f t="shared" si="78"/>
        <v>0.15725378287826125</v>
      </c>
      <c r="M90" s="39">
        <f t="shared" si="79"/>
        <v>5545539.0709331017</v>
      </c>
      <c r="N90" s="40">
        <f t="shared" si="80"/>
        <v>0.10190768887398284</v>
      </c>
      <c r="O90" s="16">
        <f t="shared" si="81"/>
        <v>0.15671053612699867</v>
      </c>
      <c r="P90" s="18"/>
      <c r="Q90" s="18">
        <f t="shared" si="82"/>
        <v>46920915.126169711</v>
      </c>
    </row>
    <row r="91" spans="1:37" ht="16" x14ac:dyDescent="0.2">
      <c r="A91" s="258"/>
      <c r="B91" s="14" t="s">
        <v>3</v>
      </c>
      <c r="C91" s="2">
        <f t="shared" si="70"/>
        <v>522101603.8769837</v>
      </c>
      <c r="D91" s="2">
        <f t="shared" si="71"/>
        <v>187326757.54387826</v>
      </c>
      <c r="E91" s="4">
        <f t="shared" si="72"/>
        <v>243349070.1518932</v>
      </c>
      <c r="F91" s="18">
        <f>'Opt 3 - Tier Allocation'!Q65</f>
        <v>91425776.181212261</v>
      </c>
      <c r="G91" s="1">
        <f t="shared" si="73"/>
        <v>0.53390476423583155</v>
      </c>
      <c r="H91" s="1">
        <f t="shared" si="74"/>
        <v>0.46609523576416845</v>
      </c>
      <c r="I91" s="39">
        <f t="shared" si="75"/>
        <v>3</v>
      </c>
      <c r="J91" s="41">
        <f t="shared" si="76"/>
        <v>1.9999999799999998E-2</v>
      </c>
      <c r="K91" s="4">
        <f t="shared" si="77"/>
        <v>1828515.5053390898</v>
      </c>
      <c r="L91" s="40">
        <f t="shared" si="78"/>
        <v>0.48382583943514768</v>
      </c>
      <c r="M91" s="39">
        <f t="shared" si="79"/>
        <v>6346608.1459777094</v>
      </c>
      <c r="N91" s="40">
        <f t="shared" si="80"/>
        <v>0.1166285477520863</v>
      </c>
      <c r="O91" s="16">
        <f t="shared" si="81"/>
        <v>8.9418148718946988E-2</v>
      </c>
      <c r="P91" s="18"/>
      <c r="Q91" s="18">
        <f t="shared" si="82"/>
        <v>99600899.832529068</v>
      </c>
    </row>
    <row r="92" spans="1:37" ht="16" x14ac:dyDescent="0.2">
      <c r="A92" s="258"/>
      <c r="B92" s="14" t="s">
        <v>4</v>
      </c>
      <c r="C92" s="2">
        <f t="shared" si="70"/>
        <v>179455999.19302014</v>
      </c>
      <c r="D92" s="2">
        <f t="shared" si="71"/>
        <v>33856814.976890206</v>
      </c>
      <c r="E92" s="4">
        <f t="shared" si="72"/>
        <v>89235948.975495964</v>
      </c>
      <c r="F92" s="18">
        <f>'Opt 3 - Tier Allocation'!Q66</f>
        <v>56363235.240633972</v>
      </c>
      <c r="G92" s="1">
        <f t="shared" si="73"/>
        <v>0.50274190120824469</v>
      </c>
      <c r="H92" s="1">
        <f t="shared" si="74"/>
        <v>0.49725809879175531</v>
      </c>
      <c r="I92" s="39">
        <f t="shared" si="75"/>
        <v>3</v>
      </c>
      <c r="J92" s="41">
        <f t="shared" si="76"/>
        <v>1.9999999799999998E-2</v>
      </c>
      <c r="K92" s="4">
        <f t="shared" si="77"/>
        <v>1127264.6935400323</v>
      </c>
      <c r="L92" s="40">
        <f t="shared" si="78"/>
        <v>0.51617416056485232</v>
      </c>
      <c r="M92" s="39">
        <f t="shared" si="79"/>
        <v>6770938.7659176663</v>
      </c>
      <c r="N92" s="40">
        <f t="shared" si="80"/>
        <v>0.12442626628646664</v>
      </c>
      <c r="O92" s="16">
        <f t="shared" si="81"/>
        <v>0.14013041348207853</v>
      </c>
      <c r="P92" s="18"/>
      <c r="Q92" s="18">
        <f t="shared" si="82"/>
        <v>64261438.700091667</v>
      </c>
    </row>
    <row r="93" spans="1:37" ht="16" x14ac:dyDescent="0.2">
      <c r="A93" s="258"/>
      <c r="B93" s="14" t="s">
        <v>5</v>
      </c>
      <c r="C93" s="2">
        <f t="shared" si="70"/>
        <v>445791778.7091096</v>
      </c>
      <c r="D93" s="2">
        <f t="shared" si="71"/>
        <v>141463173.97650519</v>
      </c>
      <c r="E93" s="4">
        <f t="shared" si="72"/>
        <v>192734988.23613977</v>
      </c>
      <c r="F93" s="18">
        <f>'Opt 3 - Tier Allocation'!Q67</f>
        <v>111593616.49646463</v>
      </c>
      <c r="G93" s="1">
        <f t="shared" si="73"/>
        <v>0.56765692540529278</v>
      </c>
      <c r="H93" s="1">
        <f t="shared" si="74"/>
        <v>0.43234307459470717</v>
      </c>
      <c r="I93" s="39">
        <f t="shared" si="75"/>
        <v>2</v>
      </c>
      <c r="J93" s="41">
        <f t="shared" si="76"/>
        <v>1.9999999799999998E-2</v>
      </c>
      <c r="K93" s="4">
        <f t="shared" si="77"/>
        <v>2231872.3076105691</v>
      </c>
      <c r="L93" s="40">
        <f t="shared" si="78"/>
        <v>0.16360547240246723</v>
      </c>
      <c r="M93" s="39">
        <f t="shared" si="79"/>
        <v>5769530.7726156563</v>
      </c>
      <c r="N93" s="40">
        <f t="shared" si="80"/>
        <v>0.10602387602070489</v>
      </c>
      <c r="O93" s="16">
        <f t="shared" si="81"/>
        <v>7.1701261518661477E-2</v>
      </c>
      <c r="P93" s="18"/>
      <c r="Q93" s="18">
        <f t="shared" si="82"/>
        <v>119595019.57669085</v>
      </c>
    </row>
    <row r="94" spans="1:37" ht="16" x14ac:dyDescent="0.2">
      <c r="A94" s="258"/>
      <c r="B94" s="14" t="s">
        <v>6</v>
      </c>
      <c r="C94" s="2">
        <f t="shared" si="70"/>
        <v>322742754.26076895</v>
      </c>
      <c r="D94" s="2">
        <f t="shared" si="71"/>
        <v>140897744.40142485</v>
      </c>
      <c r="E94" s="4">
        <f t="shared" si="72"/>
        <v>29593660.418070197</v>
      </c>
      <c r="F94" s="18">
        <f>'Opt 3 - Tier Allocation'!Q68</f>
        <v>152251349.4412739</v>
      </c>
      <c r="G94" s="1">
        <f t="shared" si="73"/>
        <v>0.90830573257685232</v>
      </c>
      <c r="H94" s="1">
        <f t="shared" si="74"/>
        <v>9.1694267423147721E-2</v>
      </c>
      <c r="I94" s="39">
        <f t="shared" si="75"/>
        <v>1</v>
      </c>
      <c r="J94" s="41">
        <f t="shared" si="76"/>
        <v>1.9999999799999998E-2</v>
      </c>
      <c r="K94" s="4">
        <f t="shared" si="77"/>
        <v>3045026.9583752076</v>
      </c>
      <c r="L94" s="40">
        <f t="shared" si="78"/>
        <v>0.50235983800750139</v>
      </c>
      <c r="M94" s="39">
        <f t="shared" si="79"/>
        <v>3031656.483873067</v>
      </c>
      <c r="N94" s="40">
        <f t="shared" si="80"/>
        <v>5.5711284652322356E-2</v>
      </c>
      <c r="O94" s="16">
        <f t="shared" si="81"/>
        <v>3.9912181169810657E-2</v>
      </c>
      <c r="P94" s="18"/>
      <c r="Q94" s="18">
        <f t="shared" si="82"/>
        <v>158328032.88352218</v>
      </c>
    </row>
    <row r="95" spans="1:37" ht="16" x14ac:dyDescent="0.2">
      <c r="A95" s="258"/>
      <c r="B95" s="14" t="s">
        <v>7</v>
      </c>
      <c r="C95" s="2">
        <f t="shared" si="70"/>
        <v>359345770.00821382</v>
      </c>
      <c r="D95" s="2">
        <f t="shared" si="71"/>
        <v>144270250.42700756</v>
      </c>
      <c r="E95" s="4">
        <f t="shared" si="72"/>
        <v>133939110.59205785</v>
      </c>
      <c r="F95" s="18">
        <f>'Opt 3 - Tier Allocation'!Q69</f>
        <v>81136408.989148408</v>
      </c>
      <c r="G95" s="1">
        <f t="shared" si="73"/>
        <v>0.62726954991289774</v>
      </c>
      <c r="H95" s="1">
        <f t="shared" si="74"/>
        <v>0.37273045008710221</v>
      </c>
      <c r="I95" s="39">
        <f t="shared" si="75"/>
        <v>2</v>
      </c>
      <c r="J95" s="41">
        <f t="shared" si="76"/>
        <v>1.9999999799999998E-2</v>
      </c>
      <c r="K95" s="4">
        <f t="shared" si="77"/>
        <v>1622728.1635556861</v>
      </c>
      <c r="L95" s="40">
        <f t="shared" si="78"/>
        <v>0.14104711038207327</v>
      </c>
      <c r="M95" s="39">
        <f t="shared" si="79"/>
        <v>4974012.3712733276</v>
      </c>
      <c r="N95" s="40">
        <f t="shared" si="80"/>
        <v>9.1405019188111808E-2</v>
      </c>
      <c r="O95" s="16">
        <f t="shared" si="81"/>
        <v>8.1304319688480356E-2</v>
      </c>
      <c r="P95" s="18"/>
      <c r="Q95" s="18">
        <f t="shared" si="82"/>
        <v>87733149.523977429</v>
      </c>
    </row>
    <row r="96" spans="1:37" ht="16" x14ac:dyDescent="0.2">
      <c r="A96" s="258"/>
      <c r="B96" s="14" t="s">
        <v>8</v>
      </c>
      <c r="C96" s="2">
        <f t="shared" si="70"/>
        <v>994914098.30409932</v>
      </c>
      <c r="D96" s="2">
        <f t="shared" si="71"/>
        <v>367071068.18737799</v>
      </c>
      <c r="E96" s="4">
        <f t="shared" si="72"/>
        <v>347289053.98597908</v>
      </c>
      <c r="F96" s="18">
        <f>'Opt 3 - Tier Allocation'!Q70</f>
        <v>280553976.13074231</v>
      </c>
      <c r="G96" s="1">
        <f t="shared" si="73"/>
        <v>0.65093563898837337</v>
      </c>
      <c r="H96" s="1">
        <f t="shared" si="74"/>
        <v>0.34906436101162658</v>
      </c>
      <c r="I96" s="39">
        <f t="shared" si="75"/>
        <v>2</v>
      </c>
      <c r="J96" s="41">
        <f t="shared" si="76"/>
        <v>1.9999999799999998E-2</v>
      </c>
      <c r="K96" s="4">
        <f t="shared" si="77"/>
        <v>5611079.4665040504</v>
      </c>
      <c r="L96" s="40">
        <f t="shared" si="78"/>
        <v>0.13209148714989424</v>
      </c>
      <c r="M96" s="39">
        <f t="shared" si="79"/>
        <v>4658193.2054027524</v>
      </c>
      <c r="N96" s="40">
        <f t="shared" si="80"/>
        <v>8.5601363153178497E-2</v>
      </c>
      <c r="O96" s="16">
        <f t="shared" si="81"/>
        <v>3.6603554202066166E-2</v>
      </c>
      <c r="P96" s="18"/>
      <c r="Q96" s="18">
        <f t="shared" si="82"/>
        <v>290823248.80264914</v>
      </c>
    </row>
    <row r="97" spans="1:37" ht="16" x14ac:dyDescent="0.2">
      <c r="A97" s="258"/>
      <c r="B97" s="14" t="s">
        <v>9</v>
      </c>
      <c r="C97" s="2">
        <f t="shared" si="70"/>
        <v>101301711.76557505</v>
      </c>
      <c r="D97" s="2">
        <f t="shared" si="71"/>
        <v>43674164.326546647</v>
      </c>
      <c r="E97" s="4">
        <f t="shared" si="72"/>
        <v>21809136.827080078</v>
      </c>
      <c r="F97" s="18">
        <f>'Opt 3 - Tier Allocation'!Q71</f>
        <v>35818410.611948326</v>
      </c>
      <c r="G97" s="1">
        <f t="shared" si="73"/>
        <v>0.78471107302165666</v>
      </c>
      <c r="H97" s="1">
        <f t="shared" si="74"/>
        <v>0.2152889269783434</v>
      </c>
      <c r="I97" s="39">
        <f t="shared" si="75"/>
        <v>2</v>
      </c>
      <c r="J97" s="41">
        <f t="shared" si="76"/>
        <v>1.9999999799999998E-2</v>
      </c>
      <c r="K97" s="4">
        <f t="shared" si="77"/>
        <v>716368.20507528435</v>
      </c>
      <c r="L97" s="40">
        <f t="shared" si="78"/>
        <v>8.1468742466456398E-2</v>
      </c>
      <c r="M97" s="39">
        <f t="shared" si="79"/>
        <v>2872987.1303463308</v>
      </c>
      <c r="N97" s="40">
        <f t="shared" si="80"/>
        <v>5.2795494698232664E-2</v>
      </c>
      <c r="O97" s="16">
        <f t="shared" si="81"/>
        <v>0.10020978804191485</v>
      </c>
      <c r="P97" s="18"/>
      <c r="Q97" s="18">
        <f t="shared" si="82"/>
        <v>39407765.947369941</v>
      </c>
    </row>
    <row r="98" spans="1:37" ht="16" x14ac:dyDescent="0.2">
      <c r="A98" s="258"/>
      <c r="B98" s="14" t="s">
        <v>10</v>
      </c>
      <c r="C98" s="2">
        <f t="shared" si="70"/>
        <v>1358701839.1070924</v>
      </c>
      <c r="D98" s="2">
        <f t="shared" si="71"/>
        <v>900876149.77439809</v>
      </c>
      <c r="E98" s="4">
        <f t="shared" si="72"/>
        <v>123414690.78973722</v>
      </c>
      <c r="F98" s="18">
        <f>'Opt 3 - Tier Allocation'!Q72</f>
        <v>334410998.54295707</v>
      </c>
      <c r="G98" s="1">
        <f t="shared" si="73"/>
        <v>0.90916720119342553</v>
      </c>
      <c r="H98" s="1">
        <f t="shared" si="74"/>
        <v>9.0832798806574466E-2</v>
      </c>
      <c r="I98" s="39">
        <f t="shared" si="75"/>
        <v>1</v>
      </c>
      <c r="J98" s="41">
        <f t="shared" si="76"/>
        <v>1.9999999799999998E-2</v>
      </c>
      <c r="K98" s="4">
        <f t="shared" si="77"/>
        <v>6688219.9039769405</v>
      </c>
      <c r="L98" s="40">
        <f t="shared" si="78"/>
        <v>0.49764016199249855</v>
      </c>
      <c r="M98" s="39">
        <f t="shared" si="79"/>
        <v>3003174.0389996576</v>
      </c>
      <c r="N98" s="40">
        <f t="shared" si="80"/>
        <v>5.5187876541153577E-2</v>
      </c>
      <c r="O98" s="16">
        <f t="shared" si="81"/>
        <v>2.8980488037781093E-2</v>
      </c>
      <c r="P98" s="18"/>
      <c r="Q98" s="18">
        <f t="shared" si="82"/>
        <v>344102392.48593366</v>
      </c>
    </row>
    <row r="99" spans="1:37" ht="16" x14ac:dyDescent="0.2">
      <c r="A99" s="258"/>
      <c r="B99" s="14" t="s">
        <v>11</v>
      </c>
      <c r="C99" s="2">
        <f t="shared" si="70"/>
        <v>213524926.43134055</v>
      </c>
      <c r="D99" s="2">
        <f t="shared" si="71"/>
        <v>74592139.975555301</v>
      </c>
      <c r="E99" s="4">
        <f t="shared" si="72"/>
        <v>71679352.884797275</v>
      </c>
      <c r="F99" s="18">
        <f>'Opt 3 - Tier Allocation'!Q73</f>
        <v>67253433.57098797</v>
      </c>
      <c r="G99" s="1">
        <f t="shared" si="73"/>
        <v>0.66430451899560339</v>
      </c>
      <c r="H99" s="1">
        <f t="shared" si="74"/>
        <v>0.33569548100439667</v>
      </c>
      <c r="I99" s="39">
        <f t="shared" si="75"/>
        <v>2</v>
      </c>
      <c r="J99" s="41">
        <f t="shared" si="76"/>
        <v>1.9999999799999998E-2</v>
      </c>
      <c r="K99" s="4">
        <f t="shared" si="77"/>
        <v>1345068.6579690725</v>
      </c>
      <c r="L99" s="40">
        <f t="shared" si="78"/>
        <v>0.12703249104795569</v>
      </c>
      <c r="M99" s="39">
        <f t="shared" si="79"/>
        <v>4479788.2091635382</v>
      </c>
      <c r="N99" s="40">
        <f t="shared" si="80"/>
        <v>8.2322900840000574E-2</v>
      </c>
      <c r="O99" s="16">
        <f t="shared" si="81"/>
        <v>8.6610549942915602E-2</v>
      </c>
      <c r="P99" s="18"/>
      <c r="Q99" s="18">
        <f t="shared" si="82"/>
        <v>73078290.438120574</v>
      </c>
    </row>
    <row r="100" spans="1:37" ht="16" x14ac:dyDescent="0.2">
      <c r="A100" s="258"/>
      <c r="B100" s="14"/>
      <c r="C100" s="2"/>
      <c r="D100" s="2"/>
      <c r="E100" s="4"/>
      <c r="F100" s="18"/>
      <c r="G100" s="1"/>
      <c r="H100" s="1"/>
      <c r="I100" s="39"/>
      <c r="J100" s="39"/>
      <c r="K100" s="39"/>
      <c r="L100" s="39"/>
      <c r="M100" s="39"/>
      <c r="N100" s="39"/>
      <c r="O100" s="16"/>
      <c r="P100" s="16"/>
      <c r="Q100" s="16"/>
    </row>
    <row r="101" spans="1:37" x14ac:dyDescent="0.2">
      <c r="A101" s="258"/>
      <c r="B101" s="15" t="s">
        <v>14</v>
      </c>
      <c r="C101" s="30">
        <f>SUM(C88:C99)</f>
        <v>4881294211.961133</v>
      </c>
      <c r="D101" s="30">
        <f>SUM(D88:D99)</f>
        <v>2141155240.1692705</v>
      </c>
      <c r="E101" s="30">
        <f>SUM(E88:E99)</f>
        <v>1379707019.9734631</v>
      </c>
      <c r="F101" s="30">
        <f>SUM(F88:F99)</f>
        <v>1360431951.8184001</v>
      </c>
      <c r="G101" s="11">
        <f>1-H101</f>
        <v>0.71734811300809809</v>
      </c>
      <c r="H101" s="11">
        <f>MAX(0,E101/C101)</f>
        <v>0.28265188699190191</v>
      </c>
      <c r="I101" s="11"/>
      <c r="J101" s="11"/>
      <c r="K101" s="30">
        <f>SUM(K88:K99)</f>
        <v>27208638.764281604</v>
      </c>
      <c r="L101" s="11"/>
      <c r="M101" s="30">
        <f>SUM(M88:M99)</f>
        <v>54417278.344822563</v>
      </c>
      <c r="N101" s="11"/>
      <c r="O101" s="16"/>
      <c r="P101" s="16"/>
      <c r="Q101" s="30">
        <f>SUM(Q88:Q99)</f>
        <v>1442057868.9275043</v>
      </c>
    </row>
    <row r="102" spans="1:37" x14ac:dyDescent="0.2">
      <c r="G102" s="21">
        <f>SUM(G88:G99)</f>
        <v>8.2115241637074714</v>
      </c>
      <c r="H102" s="21">
        <f>SUM(H88:H99)</f>
        <v>3.7884758362925282</v>
      </c>
      <c r="I102" s="21"/>
      <c r="J102" s="21"/>
      <c r="K102" s="21"/>
      <c r="L102" s="21"/>
      <c r="M102" s="21"/>
      <c r="N102" s="21"/>
      <c r="O102" s="21"/>
      <c r="P102" s="21"/>
      <c r="Q102" s="21"/>
    </row>
    <row r="105" spans="1:37" ht="48" x14ac:dyDescent="0.2">
      <c r="A105" s="257">
        <v>4</v>
      </c>
      <c r="B105" t="s">
        <v>26</v>
      </c>
      <c r="C105" s="4">
        <f>'Opt 3 - Tier Allocation'!C80</f>
        <v>1442057868.9275041</v>
      </c>
      <c r="D105" s="4"/>
      <c r="F105" s="48" t="s">
        <v>68</v>
      </c>
      <c r="G105" s="47" t="s">
        <v>62</v>
      </c>
      <c r="H105" s="48" t="s">
        <v>55</v>
      </c>
      <c r="I105" s="48" t="s">
        <v>54</v>
      </c>
      <c r="J105" s="48" t="s">
        <v>56</v>
      </c>
    </row>
    <row r="106" spans="1:37" x14ac:dyDescent="0.2">
      <c r="A106" s="257"/>
      <c r="B106" t="s">
        <v>27</v>
      </c>
      <c r="C106" s="6">
        <f>C105*(1+C107)</f>
        <v>1528581341.0631545</v>
      </c>
      <c r="D106" s="6"/>
      <c r="F106" t="s">
        <v>53</v>
      </c>
      <c r="G106" s="7">
        <v>1</v>
      </c>
      <c r="H106" s="4">
        <f>SUMIF(I$114:I$125,G106,E$114:E$125)</f>
        <v>156430394.79834387</v>
      </c>
      <c r="I106" s="1">
        <f>H106/SUM(H$106:H$108)</f>
        <v>0.11333193070272135</v>
      </c>
      <c r="J106" s="6">
        <f>($C$109-$K$127)*I106</f>
        <v>6537248.1315104943</v>
      </c>
      <c r="K106" s="1"/>
      <c r="M106" s="6"/>
      <c r="N106" s="6"/>
    </row>
    <row r="107" spans="1:37" x14ac:dyDescent="0.2">
      <c r="A107" s="257"/>
      <c r="B107" t="s">
        <v>28</v>
      </c>
      <c r="C107" s="19">
        <f>$C$3</f>
        <v>0.06</v>
      </c>
      <c r="D107" s="19"/>
      <c r="F107" s="38" t="s">
        <v>69</v>
      </c>
      <c r="G107" s="7">
        <v>2</v>
      </c>
      <c r="H107" s="4">
        <f>SUMIF(I$114:I$125,G107,E$114:E$125)</f>
        <v>1138149156.1772487</v>
      </c>
      <c r="I107" s="1">
        <f>H107/SUM(H$106:H$108)</f>
        <v>0.8245753100829375</v>
      </c>
      <c r="J107" s="6">
        <f>($C$109-$K$127)*I107</f>
        <v>47563412.814954653</v>
      </c>
      <c r="K107" s="1"/>
      <c r="M107" s="6"/>
      <c r="N107" s="6"/>
    </row>
    <row r="108" spans="1:37" x14ac:dyDescent="0.2">
      <c r="A108" s="257"/>
      <c r="B108" t="s">
        <v>16</v>
      </c>
      <c r="C108" s="20">
        <f>$C$4</f>
        <v>0.03</v>
      </c>
      <c r="D108" s="20"/>
      <c r="F108" t="s">
        <v>70</v>
      </c>
      <c r="G108" s="7">
        <v>3</v>
      </c>
      <c r="H108" s="4">
        <f>SUMIF(I$114:I$125,G108,E$114:E$125)</f>
        <v>85705721.042522162</v>
      </c>
      <c r="I108" s="1">
        <f>H108/SUM(H$106:H$108)</f>
        <v>6.2092759214341139E-2</v>
      </c>
      <c r="J108" s="6">
        <f>($C$109-$K$127)*I108</f>
        <v>3581654.099046737</v>
      </c>
      <c r="K108" s="1"/>
      <c r="M108" s="6"/>
      <c r="N108" s="6"/>
    </row>
    <row r="109" spans="1:37" x14ac:dyDescent="0.2">
      <c r="A109" s="257"/>
      <c r="B109" t="s">
        <v>31</v>
      </c>
      <c r="C109" s="6">
        <f>C106-C105</f>
        <v>86523472.135650396</v>
      </c>
      <c r="D109" s="6"/>
    </row>
    <row r="110" spans="1:37" x14ac:dyDescent="0.2">
      <c r="A110" s="257"/>
      <c r="B110" t="s">
        <v>59</v>
      </c>
      <c r="C110" s="16">
        <f>$C$7</f>
        <v>0.66666665999999997</v>
      </c>
      <c r="D110" s="16"/>
      <c r="S110" s="14"/>
      <c r="T110" s="2"/>
      <c r="U110" s="31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</row>
    <row r="111" spans="1:37" x14ac:dyDescent="0.2">
      <c r="A111" s="257"/>
      <c r="B111" t="s">
        <v>48</v>
      </c>
      <c r="C111" s="20">
        <f>((1+$C$4)^A105)-1</f>
        <v>0.12550880999999992</v>
      </c>
      <c r="D111" s="16"/>
    </row>
    <row r="112" spans="1:37" x14ac:dyDescent="0.2">
      <c r="A112" s="257"/>
    </row>
    <row r="113" spans="1:17" ht="49" thickBot="1" x14ac:dyDescent="0.25">
      <c r="A113" s="258" t="s">
        <v>51</v>
      </c>
      <c r="B113" s="22" t="s">
        <v>12</v>
      </c>
      <c r="C113" s="13" t="s">
        <v>15</v>
      </c>
      <c r="D113" s="13" t="s">
        <v>63</v>
      </c>
      <c r="E113" s="13" t="s">
        <v>13</v>
      </c>
      <c r="F113" s="13" t="s">
        <v>29</v>
      </c>
      <c r="G113" s="13" t="s">
        <v>50</v>
      </c>
      <c r="H113" s="13" t="s">
        <v>17</v>
      </c>
      <c r="I113" s="13" t="s">
        <v>52</v>
      </c>
      <c r="J113" s="13" t="s">
        <v>59</v>
      </c>
      <c r="K113" s="13" t="s">
        <v>60</v>
      </c>
      <c r="L113" s="13" t="s">
        <v>61</v>
      </c>
      <c r="M113" s="13" t="s">
        <v>58</v>
      </c>
      <c r="N113" s="13" t="s">
        <v>57</v>
      </c>
      <c r="O113" s="28" t="s">
        <v>25</v>
      </c>
      <c r="P113" s="28"/>
      <c r="Q113" s="28" t="s">
        <v>32</v>
      </c>
    </row>
    <row r="114" spans="1:17" ht="17" thickTop="1" x14ac:dyDescent="0.2">
      <c r="A114" s="258"/>
      <c r="B114" s="14" t="s">
        <v>0</v>
      </c>
      <c r="C114" s="2">
        <f t="shared" ref="C114:C125" si="83">VLOOKUP($B114,$B$9:$O$22,2,FALSE)*(1+$C$111)</f>
        <v>83356327.79333052</v>
      </c>
      <c r="D114" s="2">
        <f t="shared" ref="D114:D125" si="84">VLOOKUP($B114,$B$9:$O$22,3,FALSE)*(1+$C$111)</f>
        <v>16381683.293593006</v>
      </c>
      <c r="E114" s="4">
        <f t="shared" ref="E114:E125" si="85">C114-D114-F114</f>
        <v>13336663.518059701</v>
      </c>
      <c r="F114" s="18">
        <f>'Opt 3 - Tier Allocation'!Q88</f>
        <v>53637980.981677815</v>
      </c>
      <c r="G114" s="1">
        <f t="shared" ref="G114:G125" si="86">1-H114</f>
        <v>0.8400041859914229</v>
      </c>
      <c r="H114" s="1">
        <f t="shared" ref="H114:H125" si="87">MAX(0,E114/C114)</f>
        <v>0.15999581400857715</v>
      </c>
      <c r="I114" s="39">
        <f t="shared" ref="I114:I125" si="88">IF(H114&lt;0.15,1,IF(H114&gt;0.46,3,2))</f>
        <v>2</v>
      </c>
      <c r="J114" s="41">
        <f t="shared" ref="J114:J125" si="89">MIN($C$4,($C$3*0.5))*$C$7</f>
        <v>1.9999999799999998E-2</v>
      </c>
      <c r="K114" s="4">
        <f t="shared" ref="K114:K125" si="90">J114*F114</f>
        <v>1072759.6089059599</v>
      </c>
      <c r="L114" s="40">
        <f t="shared" ref="L114:L125" si="91">H114/SUMIF($I$114:$I$125,I114,$H$114:$H$125)</f>
        <v>5.4260428346290968E-2</v>
      </c>
      <c r="M114" s="39">
        <f t="shared" ref="M114:M125" si="92">L114*VLOOKUP(I114,$G$105:$J$108,4,FALSE)</f>
        <v>2580811.1529509043</v>
      </c>
      <c r="N114" s="40">
        <f t="shared" ref="N114:N125" si="93">M114/SUM($M$114:$M$125)</f>
        <v>4.4741809528875881E-2</v>
      </c>
      <c r="O114" s="16">
        <f t="shared" ref="O114:O125" si="94">(K114+M114)/F114</f>
        <v>6.8115367040099559E-2</v>
      </c>
      <c r="P114" s="18"/>
      <c r="Q114" s="18">
        <f t="shared" ref="Q114:Q125" si="95">M114+K114+F114</f>
        <v>57291551.743534677</v>
      </c>
    </row>
    <row r="115" spans="1:17" ht="16" x14ac:dyDescent="0.2">
      <c r="A115" s="258"/>
      <c r="B115" s="14" t="s">
        <v>1</v>
      </c>
      <c r="C115" s="2">
        <f t="shared" si="83"/>
        <v>185671161.23042026</v>
      </c>
      <c r="D115" s="2">
        <f t="shared" si="84"/>
        <v>62165519.561558373</v>
      </c>
      <c r="E115" s="4">
        <f t="shared" si="85"/>
        <v>58936907.040089592</v>
      </c>
      <c r="F115" s="18">
        <f>'Opt 3 - Tier Allocation'!Q89</f>
        <v>64568734.628772303</v>
      </c>
      <c r="G115" s="1">
        <f t="shared" si="86"/>
        <v>0.68257371446636161</v>
      </c>
      <c r="H115" s="1">
        <f t="shared" si="87"/>
        <v>0.31742628553363839</v>
      </c>
      <c r="I115" s="39">
        <f t="shared" si="88"/>
        <v>2</v>
      </c>
      <c r="J115" s="41">
        <f t="shared" si="89"/>
        <v>1.9999999799999998E-2</v>
      </c>
      <c r="K115" s="4">
        <f t="shared" si="90"/>
        <v>1291374.6796616991</v>
      </c>
      <c r="L115" s="40">
        <f t="shared" si="91"/>
        <v>0.10765085529365127</v>
      </c>
      <c r="M115" s="39">
        <f t="shared" si="92"/>
        <v>5120242.0702148816</v>
      </c>
      <c r="N115" s="40">
        <f t="shared" si="93"/>
        <v>8.8766237384455923E-2</v>
      </c>
      <c r="O115" s="16">
        <f t="shared" si="94"/>
        <v>9.9299092459208843E-2</v>
      </c>
      <c r="P115" s="18"/>
      <c r="Q115" s="18">
        <f t="shared" si="95"/>
        <v>70980351.378648877</v>
      </c>
    </row>
    <row r="116" spans="1:17" ht="16" x14ac:dyDescent="0.2">
      <c r="A116" s="258"/>
      <c r="B116" s="14" t="s">
        <v>2</v>
      </c>
      <c r="C116" s="2">
        <f t="shared" si="83"/>
        <v>125888653.19032723</v>
      </c>
      <c r="D116" s="2">
        <f t="shared" si="84"/>
        <v>31793583.021925598</v>
      </c>
      <c r="E116" s="4">
        <f t="shared" si="85"/>
        <v>47174155.042231917</v>
      </c>
      <c r="F116" s="18">
        <f>'Opt 3 - Tier Allocation'!Q90</f>
        <v>46920915.126169711</v>
      </c>
      <c r="G116" s="1">
        <f t="shared" si="86"/>
        <v>0.62527079409682185</v>
      </c>
      <c r="H116" s="1">
        <f t="shared" si="87"/>
        <v>0.37472920590317815</v>
      </c>
      <c r="I116" s="39">
        <f t="shared" si="88"/>
        <v>2</v>
      </c>
      <c r="J116" s="41">
        <f t="shared" si="89"/>
        <v>1.9999999799999998E-2</v>
      </c>
      <c r="K116" s="4">
        <f t="shared" si="90"/>
        <v>938418.29313921113</v>
      </c>
      <c r="L116" s="40">
        <f t="shared" si="91"/>
        <v>0.12708437000159198</v>
      </c>
      <c r="M116" s="39">
        <f t="shared" si="92"/>
        <v>6044566.3527141586</v>
      </c>
      <c r="N116" s="40">
        <f t="shared" si="93"/>
        <v>0.10479063380075747</v>
      </c>
      <c r="O116" s="16">
        <f t="shared" si="94"/>
        <v>0.14882456207591471</v>
      </c>
      <c r="P116" s="18"/>
      <c r="Q116" s="18">
        <f t="shared" si="95"/>
        <v>53903899.772023082</v>
      </c>
    </row>
    <row r="117" spans="1:17" ht="16" x14ac:dyDescent="0.2">
      <c r="A117" s="258"/>
      <c r="B117" s="14" t="s">
        <v>3</v>
      </c>
      <c r="C117" s="2">
        <f t="shared" si="83"/>
        <v>537764651.99329317</v>
      </c>
      <c r="D117" s="2">
        <f t="shared" si="84"/>
        <v>192946560.27019459</v>
      </c>
      <c r="E117" s="4">
        <f t="shared" si="85"/>
        <v>245217191.89056951</v>
      </c>
      <c r="F117" s="18">
        <f>'Opt 3 - Tier Allocation'!Q91</f>
        <v>99600899.832529068</v>
      </c>
      <c r="G117" s="1">
        <f t="shared" si="86"/>
        <v>0.5440064887462559</v>
      </c>
      <c r="H117" s="1">
        <f t="shared" si="87"/>
        <v>0.4559935112537441</v>
      </c>
      <c r="I117" s="39">
        <f t="shared" si="88"/>
        <v>2</v>
      </c>
      <c r="J117" s="41">
        <f t="shared" si="89"/>
        <v>1.9999999799999998E-2</v>
      </c>
      <c r="K117" s="4">
        <f t="shared" si="90"/>
        <v>1992017.9767304012</v>
      </c>
      <c r="L117" s="40">
        <f t="shared" si="91"/>
        <v>0.15464406614057413</v>
      </c>
      <c r="M117" s="39">
        <f t="shared" si="92"/>
        <v>7355399.5572272791</v>
      </c>
      <c r="N117" s="40">
        <f t="shared" si="93"/>
        <v>0.12751567879035022</v>
      </c>
      <c r="O117" s="16">
        <f t="shared" si="94"/>
        <v>9.3848725761259327E-2</v>
      </c>
      <c r="P117" s="18"/>
      <c r="Q117" s="18">
        <f t="shared" si="95"/>
        <v>108948317.36648674</v>
      </c>
    </row>
    <row r="118" spans="1:17" ht="16" x14ac:dyDescent="0.2">
      <c r="A118" s="258"/>
      <c r="B118" s="14" t="s">
        <v>4</v>
      </c>
      <c r="C118" s="2">
        <f t="shared" si="83"/>
        <v>184839679.16881073</v>
      </c>
      <c r="D118" s="2">
        <f t="shared" si="84"/>
        <v>34872519.42619691</v>
      </c>
      <c r="E118" s="4">
        <f t="shared" si="85"/>
        <v>85705721.042522162</v>
      </c>
      <c r="F118" s="18">
        <f>'Opt 3 - Tier Allocation'!Q92</f>
        <v>64261438.700091667</v>
      </c>
      <c r="G118" s="1">
        <f t="shared" si="86"/>
        <v>0.53632401101362714</v>
      </c>
      <c r="H118" s="1">
        <f t="shared" si="87"/>
        <v>0.4636759889863728</v>
      </c>
      <c r="I118" s="39">
        <f t="shared" si="88"/>
        <v>3</v>
      </c>
      <c r="J118" s="41">
        <f t="shared" si="89"/>
        <v>1.9999999799999998E-2</v>
      </c>
      <c r="K118" s="4">
        <f t="shared" si="90"/>
        <v>1285228.7611495454</v>
      </c>
      <c r="L118" s="40">
        <f t="shared" si="91"/>
        <v>1</v>
      </c>
      <c r="M118" s="39">
        <f t="shared" si="92"/>
        <v>3581654.099046737</v>
      </c>
      <c r="N118" s="40">
        <f t="shared" si="93"/>
        <v>6.2092759214341146E-2</v>
      </c>
      <c r="O118" s="16">
        <f t="shared" si="94"/>
        <v>7.5735666033093965E-2</v>
      </c>
      <c r="P118" s="18"/>
      <c r="Q118" s="18">
        <f t="shared" si="95"/>
        <v>69128321.560287952</v>
      </c>
    </row>
    <row r="119" spans="1:17" ht="16" x14ac:dyDescent="0.2">
      <c r="A119" s="258"/>
      <c r="B119" s="14" t="s">
        <v>5</v>
      </c>
      <c r="C119" s="2">
        <f t="shared" si="83"/>
        <v>459165532.07038289</v>
      </c>
      <c r="D119" s="2">
        <f t="shared" si="84"/>
        <v>145707069.19580033</v>
      </c>
      <c r="E119" s="4">
        <f t="shared" si="85"/>
        <v>193863443.29789168</v>
      </c>
      <c r="F119" s="18">
        <f>'Opt 3 - Tier Allocation'!Q93</f>
        <v>119595019.57669085</v>
      </c>
      <c r="G119" s="1">
        <f t="shared" si="86"/>
        <v>0.57779182068880675</v>
      </c>
      <c r="H119" s="1">
        <f t="shared" si="87"/>
        <v>0.42220817931119325</v>
      </c>
      <c r="I119" s="39">
        <f t="shared" si="88"/>
        <v>2</v>
      </c>
      <c r="J119" s="41">
        <f t="shared" si="89"/>
        <v>1.9999999799999998E-2</v>
      </c>
      <c r="K119" s="4">
        <f t="shared" si="90"/>
        <v>2391900.3676148127</v>
      </c>
      <c r="L119" s="40">
        <f t="shared" si="91"/>
        <v>0.14318622523152286</v>
      </c>
      <c r="M119" s="39">
        <f t="shared" si="92"/>
        <v>6810425.5401019976</v>
      </c>
      <c r="N119" s="40">
        <f t="shared" si="93"/>
        <v>0.11806782606988829</v>
      </c>
      <c r="O119" s="16">
        <f t="shared" si="94"/>
        <v>7.6945728511844738E-2</v>
      </c>
      <c r="P119" s="18"/>
      <c r="Q119" s="18">
        <f t="shared" si="95"/>
        <v>128797345.48440766</v>
      </c>
    </row>
    <row r="120" spans="1:17" ht="16" x14ac:dyDescent="0.2">
      <c r="A120" s="258"/>
      <c r="B120" s="14" t="s">
        <v>6</v>
      </c>
      <c r="C120" s="2">
        <f t="shared" si="83"/>
        <v>332425036.888592</v>
      </c>
      <c r="D120" s="2">
        <f t="shared" si="84"/>
        <v>145124676.73346758</v>
      </c>
      <c r="E120" s="4">
        <f t="shared" si="85"/>
        <v>28972327.271602243</v>
      </c>
      <c r="F120" s="18">
        <f>'Opt 3 - Tier Allocation'!Q94</f>
        <v>158328032.88352218</v>
      </c>
      <c r="G120" s="1">
        <f t="shared" si="86"/>
        <v>0.91284553190465023</v>
      </c>
      <c r="H120" s="1">
        <f t="shared" si="87"/>
        <v>8.7154468095349713E-2</v>
      </c>
      <c r="I120" s="39">
        <f t="shared" si="88"/>
        <v>1</v>
      </c>
      <c r="J120" s="41">
        <f t="shared" si="89"/>
        <v>1.9999999799999998E-2</v>
      </c>
      <c r="K120" s="4">
        <f t="shared" si="90"/>
        <v>3166560.6260048365</v>
      </c>
      <c r="L120" s="40">
        <f t="shared" si="91"/>
        <v>0.48899755820995355</v>
      </c>
      <c r="M120" s="39">
        <f t="shared" si="92"/>
        <v>3196698.3737212131</v>
      </c>
      <c r="N120" s="40">
        <f t="shared" si="93"/>
        <v>5.5419037380850404E-2</v>
      </c>
      <c r="O120" s="16">
        <f t="shared" si="94"/>
        <v>4.0190349642045597E-2</v>
      </c>
      <c r="P120" s="18"/>
      <c r="Q120" s="18">
        <f t="shared" si="95"/>
        <v>164691291.88324824</v>
      </c>
    </row>
    <row r="121" spans="1:17" ht="16" x14ac:dyDescent="0.2">
      <c r="A121" s="258"/>
      <c r="B121" s="14" t="s">
        <v>7</v>
      </c>
      <c r="C121" s="2">
        <f t="shared" si="83"/>
        <v>370126143.10846019</v>
      </c>
      <c r="D121" s="2">
        <f t="shared" si="84"/>
        <v>148598357.93981779</v>
      </c>
      <c r="E121" s="4">
        <f t="shared" si="85"/>
        <v>133794635.64466497</v>
      </c>
      <c r="F121" s="18">
        <f>'Opt 3 - Tier Allocation'!Q95</f>
        <v>87733149.523977429</v>
      </c>
      <c r="G121" s="1">
        <f t="shared" si="86"/>
        <v>0.63851611636776928</v>
      </c>
      <c r="H121" s="1">
        <f t="shared" si="87"/>
        <v>0.36148388363223066</v>
      </c>
      <c r="I121" s="39">
        <f t="shared" si="88"/>
        <v>2</v>
      </c>
      <c r="J121" s="41">
        <f t="shared" si="89"/>
        <v>1.9999999799999998E-2</v>
      </c>
      <c r="K121" s="4">
        <f t="shared" si="90"/>
        <v>1754662.9729329185</v>
      </c>
      <c r="L121" s="40">
        <f t="shared" si="91"/>
        <v>0.12259239710555264</v>
      </c>
      <c r="M121" s="39">
        <f t="shared" si="92"/>
        <v>5830912.7915062523</v>
      </c>
      <c r="N121" s="40">
        <f t="shared" si="93"/>
        <v>0.10108666385712167</v>
      </c>
      <c r="O121" s="16">
        <f t="shared" si="94"/>
        <v>8.6461910983442317E-2</v>
      </c>
      <c r="P121" s="18"/>
      <c r="Q121" s="18">
        <f t="shared" si="95"/>
        <v>95318725.288416594</v>
      </c>
    </row>
    <row r="122" spans="1:17" ht="16" x14ac:dyDescent="0.2">
      <c r="A122" s="258"/>
      <c r="B122" s="14" t="s">
        <v>8</v>
      </c>
      <c r="C122" s="2">
        <f t="shared" si="83"/>
        <v>1024761521.2532222</v>
      </c>
      <c r="D122" s="2">
        <f t="shared" si="84"/>
        <v>378083200.23299927</v>
      </c>
      <c r="E122" s="4">
        <f t="shared" si="85"/>
        <v>355855072.21757376</v>
      </c>
      <c r="F122" s="18">
        <f>'Opt 3 - Tier Allocation'!Q96</f>
        <v>290823248.80264914</v>
      </c>
      <c r="G122" s="1">
        <f t="shared" si="86"/>
        <v>0.65274352633539146</v>
      </c>
      <c r="H122" s="1">
        <f t="shared" si="87"/>
        <v>0.34725647366460854</v>
      </c>
      <c r="I122" s="39">
        <f t="shared" si="88"/>
        <v>2</v>
      </c>
      <c r="J122" s="41">
        <f t="shared" si="89"/>
        <v>1.9999999799999998E-2</v>
      </c>
      <c r="K122" s="4">
        <f t="shared" si="90"/>
        <v>5816464.9178883322</v>
      </c>
      <c r="L122" s="40">
        <f t="shared" si="91"/>
        <v>0.11776736237645605</v>
      </c>
      <c r="M122" s="39">
        <f t="shared" si="92"/>
        <v>5601417.6728397384</v>
      </c>
      <c r="N122" s="40">
        <f t="shared" si="93"/>
        <v>9.7108059349215917E-2</v>
      </c>
      <c r="O122" s="16">
        <f t="shared" si="94"/>
        <v>3.9260556498618086E-2</v>
      </c>
      <c r="P122" s="18"/>
      <c r="Q122" s="18">
        <f t="shared" si="95"/>
        <v>302241131.39337718</v>
      </c>
    </row>
    <row r="123" spans="1:17" ht="16" x14ac:dyDescent="0.2">
      <c r="A123" s="258"/>
      <c r="B123" s="14" t="s">
        <v>9</v>
      </c>
      <c r="C123" s="2">
        <f t="shared" si="83"/>
        <v>104340763.11854228</v>
      </c>
      <c r="D123" s="2">
        <f t="shared" si="84"/>
        <v>44984389.256343044</v>
      </c>
      <c r="E123" s="4">
        <f t="shared" si="85"/>
        <v>19948607.914829299</v>
      </c>
      <c r="F123" s="18">
        <f>'Opt 3 - Tier Allocation'!Q97</f>
        <v>39407765.947369941</v>
      </c>
      <c r="G123" s="1">
        <f t="shared" si="86"/>
        <v>0.80881289997691941</v>
      </c>
      <c r="H123" s="1">
        <f t="shared" si="87"/>
        <v>0.19118710002308056</v>
      </c>
      <c r="I123" s="39">
        <f t="shared" si="88"/>
        <v>2</v>
      </c>
      <c r="J123" s="41">
        <f t="shared" si="89"/>
        <v>1.9999999799999998E-2</v>
      </c>
      <c r="K123" s="4">
        <f t="shared" si="90"/>
        <v>788155.31106584554</v>
      </c>
      <c r="L123" s="40">
        <f t="shared" si="91"/>
        <v>6.4838533469265616E-2</v>
      </c>
      <c r="M123" s="39">
        <f t="shared" si="92"/>
        <v>3083941.9337149346</v>
      </c>
      <c r="N123" s="40">
        <f t="shared" si="93"/>
        <v>5.3464253840742618E-2</v>
      </c>
      <c r="O123" s="16">
        <f t="shared" si="94"/>
        <v>9.8257212802980595E-2</v>
      </c>
      <c r="P123" s="18"/>
      <c r="Q123" s="18">
        <f t="shared" si="95"/>
        <v>43279863.192150719</v>
      </c>
    </row>
    <row r="124" spans="1:17" ht="16" x14ac:dyDescent="0.2">
      <c r="A124" s="258"/>
      <c r="B124" s="14" t="s">
        <v>10</v>
      </c>
      <c r="C124" s="2">
        <f t="shared" si="83"/>
        <v>1399462894.2803051</v>
      </c>
      <c r="D124" s="2">
        <f t="shared" si="84"/>
        <v>927902434.26762986</v>
      </c>
      <c r="E124" s="4">
        <f t="shared" si="85"/>
        <v>127458067.52674162</v>
      </c>
      <c r="F124" s="18">
        <f>'Opt 3 - Tier Allocation'!Q98</f>
        <v>344102392.48593366</v>
      </c>
      <c r="G124" s="1">
        <f t="shared" si="86"/>
        <v>0.90892358200587453</v>
      </c>
      <c r="H124" s="1">
        <f t="shared" si="87"/>
        <v>9.1076417994125414E-2</v>
      </c>
      <c r="I124" s="39">
        <f t="shared" si="88"/>
        <v>1</v>
      </c>
      <c r="J124" s="41">
        <f t="shared" si="89"/>
        <v>1.9999999799999998E-2</v>
      </c>
      <c r="K124" s="4">
        <f t="shared" si="90"/>
        <v>6882047.7808981938</v>
      </c>
      <c r="L124" s="40">
        <f t="shared" si="91"/>
        <v>0.5110024417900465</v>
      </c>
      <c r="M124" s="39">
        <f t="shared" si="92"/>
        <v>3340549.7577892817</v>
      </c>
      <c r="N124" s="40">
        <f t="shared" si="93"/>
        <v>5.7912893321870954E-2</v>
      </c>
      <c r="O124" s="16">
        <f t="shared" si="94"/>
        <v>2.9708010644260076E-2</v>
      </c>
      <c r="P124" s="18"/>
      <c r="Q124" s="18">
        <f t="shared" si="95"/>
        <v>354324990.02462113</v>
      </c>
    </row>
    <row r="125" spans="1:17" ht="16" x14ac:dyDescent="0.2">
      <c r="A125" s="258"/>
      <c r="B125" s="14" t="s">
        <v>11</v>
      </c>
      <c r="C125" s="2">
        <f t="shared" si="83"/>
        <v>219930674.22428074</v>
      </c>
      <c r="D125" s="2">
        <f t="shared" si="84"/>
        <v>76829904.174821958</v>
      </c>
      <c r="E125" s="4">
        <f t="shared" si="85"/>
        <v>70022479.611338228</v>
      </c>
      <c r="F125" s="18">
        <f>'Opt 3 - Tier Allocation'!Q99</f>
        <v>73078290.438120574</v>
      </c>
      <c r="G125" s="1">
        <f t="shared" si="86"/>
        <v>0.68161567340110651</v>
      </c>
      <c r="H125" s="1">
        <f t="shared" si="87"/>
        <v>0.31838432659889343</v>
      </c>
      <c r="I125" s="39">
        <f t="shared" si="88"/>
        <v>2</v>
      </c>
      <c r="J125" s="41">
        <f t="shared" si="89"/>
        <v>1.9999999799999998E-2</v>
      </c>
      <c r="K125" s="4">
        <f t="shared" si="90"/>
        <v>1461565.7941467531</v>
      </c>
      <c r="L125" s="40">
        <f t="shared" si="91"/>
        <v>0.10797576203509444</v>
      </c>
      <c r="M125" s="39">
        <f t="shared" si="92"/>
        <v>5135695.7436845051</v>
      </c>
      <c r="N125" s="40">
        <f t="shared" si="93"/>
        <v>8.9034147461529461E-2</v>
      </c>
      <c r="O125" s="16">
        <f t="shared" si="94"/>
        <v>9.0276626591552847E-2</v>
      </c>
      <c r="P125" s="18"/>
      <c r="Q125" s="18">
        <f t="shared" si="95"/>
        <v>79675551.975951836</v>
      </c>
    </row>
    <row r="126" spans="1:17" ht="16" x14ac:dyDescent="0.2">
      <c r="A126" s="258"/>
      <c r="B126" s="14"/>
      <c r="C126" s="2"/>
      <c r="D126" s="2"/>
      <c r="E126" s="4"/>
      <c r="F126" s="18"/>
      <c r="G126" s="1"/>
      <c r="H126" s="1"/>
      <c r="I126" s="39"/>
      <c r="J126" s="39"/>
      <c r="K126" s="39"/>
      <c r="L126" s="39"/>
      <c r="M126" s="39"/>
      <c r="N126" s="39"/>
      <c r="O126" s="16"/>
      <c r="P126" s="16"/>
      <c r="Q126" s="16"/>
    </row>
    <row r="127" spans="1:17" x14ac:dyDescent="0.2">
      <c r="A127" s="258"/>
      <c r="B127" s="15" t="s">
        <v>14</v>
      </c>
      <c r="C127" s="30">
        <f>SUM(C114:C125)</f>
        <v>5027733038.3199673</v>
      </c>
      <c r="D127" s="30">
        <f>SUM(D114:D125)</f>
        <v>2205389897.3743486</v>
      </c>
      <c r="E127" s="30">
        <f>SUM(E114:E125)</f>
        <v>1380285272.0181146</v>
      </c>
      <c r="F127" s="30">
        <f>SUM(F114:F125)</f>
        <v>1442057868.9275043</v>
      </c>
      <c r="G127" s="11">
        <f>1-H127</f>
        <v>0.7254656797610437</v>
      </c>
      <c r="H127" s="11">
        <f>MAX(0,E127/C127)</f>
        <v>0.2745343202389563</v>
      </c>
      <c r="I127" s="11"/>
      <c r="J127" s="11"/>
      <c r="K127" s="30">
        <f>SUM(K114:K125)</f>
        <v>28841157.090138506</v>
      </c>
      <c r="L127" s="11"/>
      <c r="M127" s="30">
        <f>SUM(M114:M125)</f>
        <v>57682315.045511886</v>
      </c>
      <c r="N127" s="11"/>
      <c r="O127" s="16"/>
      <c r="P127" s="16"/>
      <c r="Q127" s="30">
        <f>SUM(Q114:Q125)</f>
        <v>1528581341.0631549</v>
      </c>
    </row>
    <row r="128" spans="1:17" x14ac:dyDescent="0.2">
      <c r="G128" s="21">
        <f>SUM(G114:G125)</f>
        <v>8.4094283449950087</v>
      </c>
      <c r="H128" s="21">
        <f>SUM(H114:H125)</f>
        <v>3.5905716550049922</v>
      </c>
      <c r="I128" s="21"/>
      <c r="J128" s="21"/>
      <c r="K128" s="21"/>
      <c r="L128" s="21"/>
      <c r="M128" s="21"/>
      <c r="N128" s="21"/>
      <c r="O128" s="21"/>
      <c r="P128" s="21"/>
      <c r="Q128" s="21"/>
    </row>
    <row r="131" spans="1:37" ht="48" x14ac:dyDescent="0.2">
      <c r="A131" s="257">
        <v>5</v>
      </c>
      <c r="B131" t="s">
        <v>26</v>
      </c>
      <c r="C131" s="4">
        <f>'Opt 3 - Tier Allocation'!C106</f>
        <v>1528581341.0631545</v>
      </c>
      <c r="D131" s="4"/>
      <c r="F131" s="48" t="s">
        <v>68</v>
      </c>
      <c r="G131" s="47" t="s">
        <v>62</v>
      </c>
      <c r="H131" s="48" t="s">
        <v>55</v>
      </c>
      <c r="I131" s="48" t="s">
        <v>54</v>
      </c>
      <c r="J131" s="48" t="s">
        <v>56</v>
      </c>
    </row>
    <row r="132" spans="1:37" x14ac:dyDescent="0.2">
      <c r="A132" s="257"/>
      <c r="B132" t="s">
        <v>27</v>
      </c>
      <c r="C132" s="6">
        <f>C131*(1+C133)</f>
        <v>1620296221.5269439</v>
      </c>
      <c r="D132" s="6"/>
      <c r="F132" t="s">
        <v>53</v>
      </c>
      <c r="G132" s="7">
        <v>1</v>
      </c>
      <c r="H132" s="4">
        <f>SUMIF(I$140:I$151,G132,E$140:E$151)</f>
        <v>171302694.95615914</v>
      </c>
      <c r="I132" s="1">
        <f>H132/SUM(H$132:H$134)</f>
        <v>0.12427358278150015</v>
      </c>
      <c r="J132" s="6">
        <f>($C$135-$K$153)*I132</f>
        <v>7598491.2310672179</v>
      </c>
      <c r="K132" s="1"/>
      <c r="M132" s="6"/>
      <c r="N132" s="6"/>
    </row>
    <row r="133" spans="1:37" x14ac:dyDescent="0.2">
      <c r="A133" s="257"/>
      <c r="B133" t="s">
        <v>28</v>
      </c>
      <c r="C133" s="19">
        <f>$C$3</f>
        <v>0.06</v>
      </c>
      <c r="D133" s="19"/>
      <c r="F133" s="38" t="s">
        <v>69</v>
      </c>
      <c r="G133" s="7">
        <v>2</v>
      </c>
      <c r="H133" s="4">
        <f>SUMIF(I$140:I$151,G133,E$140:E$151)</f>
        <v>1207129399.1546733</v>
      </c>
      <c r="I133" s="1">
        <f>H133/SUM(H$132:H$134)</f>
        <v>0.87572641721849986</v>
      </c>
      <c r="J133" s="6">
        <f>($C$135-$K$153)*I133</f>
        <v>53544762.717175424</v>
      </c>
      <c r="K133" s="1"/>
      <c r="M133" s="6"/>
      <c r="N133" s="6"/>
    </row>
    <row r="134" spans="1:37" x14ac:dyDescent="0.2">
      <c r="A134" s="257"/>
      <c r="B134" t="s">
        <v>16</v>
      </c>
      <c r="C134" s="20">
        <f>$C$4</f>
        <v>0.03</v>
      </c>
      <c r="D134" s="20"/>
      <c r="F134" t="s">
        <v>70</v>
      </c>
      <c r="G134" s="7">
        <v>3</v>
      </c>
      <c r="H134" s="4">
        <f>SUMIF(I$140:I$151,G134,E$140:E$151)</f>
        <v>0</v>
      </c>
      <c r="I134" s="1">
        <f>H134/SUM(H$132:H$134)</f>
        <v>0</v>
      </c>
      <c r="J134" s="6">
        <f>($C$135-$K$153)*I134</f>
        <v>0</v>
      </c>
      <c r="K134" s="1"/>
      <c r="M134" s="6"/>
      <c r="N134" s="6"/>
    </row>
    <row r="135" spans="1:37" x14ac:dyDescent="0.2">
      <c r="A135" s="257"/>
      <c r="B135" t="s">
        <v>31</v>
      </c>
      <c r="C135" s="6">
        <f>C132-C131</f>
        <v>91714880.463789463</v>
      </c>
      <c r="D135" s="6"/>
    </row>
    <row r="136" spans="1:37" x14ac:dyDescent="0.2">
      <c r="A136" s="257"/>
      <c r="B136" t="s">
        <v>59</v>
      </c>
      <c r="C136" s="16">
        <f>$C$7</f>
        <v>0.66666665999999997</v>
      </c>
      <c r="D136" s="16"/>
      <c r="S136" s="14"/>
      <c r="T136" s="2"/>
      <c r="U136" s="31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</row>
    <row r="137" spans="1:37" x14ac:dyDescent="0.2">
      <c r="A137" s="257"/>
      <c r="B137" t="s">
        <v>48</v>
      </c>
      <c r="C137" s="20">
        <f>((1+$C$4)^A131)-1</f>
        <v>0.15927407429999985</v>
      </c>
      <c r="D137" s="16"/>
    </row>
    <row r="138" spans="1:37" x14ac:dyDescent="0.2">
      <c r="A138" s="257"/>
    </row>
    <row r="139" spans="1:37" ht="49" thickBot="1" x14ac:dyDescent="0.25">
      <c r="A139" s="258" t="s">
        <v>51</v>
      </c>
      <c r="B139" s="22" t="s">
        <v>12</v>
      </c>
      <c r="C139" s="13" t="s">
        <v>15</v>
      </c>
      <c r="D139" s="13" t="s">
        <v>63</v>
      </c>
      <c r="E139" s="13" t="s">
        <v>13</v>
      </c>
      <c r="F139" s="13" t="s">
        <v>29</v>
      </c>
      <c r="G139" s="13" t="s">
        <v>50</v>
      </c>
      <c r="H139" s="13" t="s">
        <v>17</v>
      </c>
      <c r="I139" s="13" t="s">
        <v>52</v>
      </c>
      <c r="J139" s="13" t="s">
        <v>59</v>
      </c>
      <c r="K139" s="13" t="s">
        <v>60</v>
      </c>
      <c r="L139" s="13" t="s">
        <v>61</v>
      </c>
      <c r="M139" s="13" t="s">
        <v>58</v>
      </c>
      <c r="N139" s="13" t="s">
        <v>57</v>
      </c>
      <c r="O139" s="28" t="s">
        <v>25</v>
      </c>
      <c r="P139" s="28"/>
      <c r="Q139" s="28" t="s">
        <v>32</v>
      </c>
    </row>
    <row r="140" spans="1:37" ht="17" thickTop="1" x14ac:dyDescent="0.2">
      <c r="A140" s="258"/>
      <c r="B140" s="14" t="s">
        <v>0</v>
      </c>
      <c r="C140" s="2">
        <f t="shared" ref="C140:C151" si="96">VLOOKUP($B140,$B$9:$O$22,2,FALSE)*(1+$C$137)</f>
        <v>85857017.627130434</v>
      </c>
      <c r="D140" s="2">
        <f t="shared" ref="D140:D151" si="97">VLOOKUP($B140,$B$9:$O$22,3,FALSE)*(1+$C$137)</f>
        <v>16873133.792400796</v>
      </c>
      <c r="E140" s="4">
        <f t="shared" ref="E140:E151" si="98">C140-D140-F140</f>
        <v>11692332.091194965</v>
      </c>
      <c r="F140" s="18">
        <f>'Opt 3 - Tier Allocation'!Q114</f>
        <v>57291551.743534677</v>
      </c>
      <c r="G140" s="1">
        <f t="shared" ref="G140:G151" si="99">1-H140</f>
        <v>0.86381623291442822</v>
      </c>
      <c r="H140" s="1">
        <f t="shared" ref="H140:H151" si="100">MAX(0,E140/C140)</f>
        <v>0.13618376708557181</v>
      </c>
      <c r="I140" s="39">
        <f t="shared" ref="I140:I151" si="101">IF(H140&lt;0.15,1,IF(H140&gt;0.46,3,2))</f>
        <v>1</v>
      </c>
      <c r="J140" s="41">
        <f t="shared" ref="J140:J151" si="102">MIN($C$4,($C$3*0.5))*$C$7</f>
        <v>1.9999999799999998E-2</v>
      </c>
      <c r="K140" s="4">
        <f t="shared" ref="K140:K151" si="103">J140*F140</f>
        <v>1145831.0234123832</v>
      </c>
      <c r="L140" s="40">
        <f t="shared" ref="L140:L151" si="104">H140/SUMIF($I$140:$I$151,I140,$H$140:$H$151)</f>
        <v>0.43962546991548612</v>
      </c>
      <c r="M140" s="39">
        <f t="shared" ref="M140:M151" si="105">L140*VLOOKUP(I140,$G$131:$J$134,4,FALSE)</f>
        <v>3340490.2781066261</v>
      </c>
      <c r="N140" s="40">
        <f t="shared" ref="N140:N151" si="106">M140/SUM($M$140:$M$151)</f>
        <v>5.4633832228398072E-2</v>
      </c>
      <c r="O140" s="16">
        <f t="shared" ref="O140:O151" si="107">(K140+M140)/F140</f>
        <v>7.8306856159211791E-2</v>
      </c>
      <c r="P140" s="18"/>
      <c r="Q140" s="18">
        <f t="shared" ref="Q140:Q151" si="108">M140+K140+F140</f>
        <v>61777873.045053683</v>
      </c>
    </row>
    <row r="141" spans="1:37" ht="16" x14ac:dyDescent="0.2">
      <c r="A141" s="258"/>
      <c r="B141" s="14" t="s">
        <v>1</v>
      </c>
      <c r="C141" s="2">
        <f t="shared" si="96"/>
        <v>191241296.06733286</v>
      </c>
      <c r="D141" s="2">
        <f t="shared" si="97"/>
        <v>64030485.14840512</v>
      </c>
      <c r="E141" s="4">
        <f t="shared" si="98"/>
        <v>56230459.540278867</v>
      </c>
      <c r="F141" s="18">
        <f>'Opt 3 - Tier Allocation'!Q115</f>
        <v>70980351.378648877</v>
      </c>
      <c r="G141" s="1">
        <f t="shared" si="99"/>
        <v>0.70597114380316128</v>
      </c>
      <c r="H141" s="1">
        <f t="shared" si="100"/>
        <v>0.29402885619683866</v>
      </c>
      <c r="I141" s="39">
        <f t="shared" si="101"/>
        <v>2</v>
      </c>
      <c r="J141" s="41">
        <f t="shared" si="102"/>
        <v>1.9999999799999998E-2</v>
      </c>
      <c r="K141" s="4">
        <f t="shared" si="103"/>
        <v>1419607.0133769072</v>
      </c>
      <c r="L141" s="40">
        <f t="shared" si="104"/>
        <v>9.5243116121176266E-2</v>
      </c>
      <c r="M141" s="39">
        <f t="shared" si="105"/>
        <v>5099770.0531527689</v>
      </c>
      <c r="N141" s="40">
        <f t="shared" si="106"/>
        <v>8.3406912845523248E-2</v>
      </c>
      <c r="O141" s="16">
        <f t="shared" si="107"/>
        <v>9.1847630223069396E-2</v>
      </c>
      <c r="P141" s="18"/>
      <c r="Q141" s="18">
        <f t="shared" si="108"/>
        <v>77499728.445178553</v>
      </c>
    </row>
    <row r="142" spans="1:37" ht="16" x14ac:dyDescent="0.2">
      <c r="A142" s="258"/>
      <c r="B142" s="14" t="s">
        <v>2</v>
      </c>
      <c r="C142" s="2">
        <f t="shared" si="96"/>
        <v>129665312.78603704</v>
      </c>
      <c r="D142" s="2">
        <f t="shared" si="97"/>
        <v>32747390.512583364</v>
      </c>
      <c r="E142" s="4">
        <f t="shared" si="98"/>
        <v>43014022.501430601</v>
      </c>
      <c r="F142" s="18">
        <f>'Opt 3 - Tier Allocation'!Q116</f>
        <v>53903899.772023082</v>
      </c>
      <c r="G142" s="1">
        <f t="shared" si="99"/>
        <v>0.6682688563562964</v>
      </c>
      <c r="H142" s="1">
        <f t="shared" si="100"/>
        <v>0.33173114364370354</v>
      </c>
      <c r="I142" s="39">
        <f t="shared" si="101"/>
        <v>2</v>
      </c>
      <c r="J142" s="41">
        <f t="shared" si="102"/>
        <v>1.9999999799999998E-2</v>
      </c>
      <c r="K142" s="4">
        <f t="shared" si="103"/>
        <v>1078077.9846596816</v>
      </c>
      <c r="L142" s="40">
        <f t="shared" si="104"/>
        <v>0.10745580635771479</v>
      </c>
      <c r="M142" s="39">
        <f t="shared" si="105"/>
        <v>5753695.6540065892</v>
      </c>
      <c r="N142" s="40">
        <f t="shared" si="106"/>
        <v>9.4101888310966483E-2</v>
      </c>
      <c r="O142" s="16">
        <f t="shared" si="107"/>
        <v>0.12673987721779012</v>
      </c>
      <c r="P142" s="18"/>
      <c r="Q142" s="18">
        <f t="shared" si="108"/>
        <v>60735673.410689354</v>
      </c>
    </row>
    <row r="143" spans="1:37" ht="16" x14ac:dyDescent="0.2">
      <c r="A143" s="258"/>
      <c r="B143" s="14" t="s">
        <v>3</v>
      </c>
      <c r="C143" s="2">
        <f t="shared" si="96"/>
        <v>553897591.55309188</v>
      </c>
      <c r="D143" s="2">
        <f t="shared" si="97"/>
        <v>198734957.07830042</v>
      </c>
      <c r="E143" s="4">
        <f t="shared" si="98"/>
        <v>246214317.10830474</v>
      </c>
      <c r="F143" s="18">
        <f>'Opt 3 - Tier Allocation'!Q117</f>
        <v>108948317.36648674</v>
      </c>
      <c r="G143" s="1">
        <f t="shared" si="99"/>
        <v>0.55548765536615496</v>
      </c>
      <c r="H143" s="1">
        <f t="shared" si="100"/>
        <v>0.44451234463384509</v>
      </c>
      <c r="I143" s="39">
        <f t="shared" si="101"/>
        <v>2</v>
      </c>
      <c r="J143" s="41">
        <f t="shared" si="102"/>
        <v>1.9999999799999998E-2</v>
      </c>
      <c r="K143" s="4">
        <f t="shared" si="103"/>
        <v>2178966.3255400714</v>
      </c>
      <c r="L143" s="40">
        <f t="shared" si="104"/>
        <v>0.14398838741499287</v>
      </c>
      <c r="M143" s="39">
        <f t="shared" si="105"/>
        <v>7709824.0381645216</v>
      </c>
      <c r="N143" s="40">
        <f t="shared" si="106"/>
        <v>0.12609443463200107</v>
      </c>
      <c r="O143" s="16">
        <f t="shared" si="107"/>
        <v>9.0765884253541054E-2</v>
      </c>
      <c r="P143" s="18"/>
      <c r="Q143" s="18">
        <f t="shared" si="108"/>
        <v>118837107.73019134</v>
      </c>
    </row>
    <row r="144" spans="1:37" ht="16" x14ac:dyDescent="0.2">
      <c r="A144" s="258"/>
      <c r="B144" s="14" t="s">
        <v>4</v>
      </c>
      <c r="C144" s="2">
        <f t="shared" si="96"/>
        <v>190384869.54387504</v>
      </c>
      <c r="D144" s="2">
        <f t="shared" si="97"/>
        <v>35918695.008982815</v>
      </c>
      <c r="E144" s="4">
        <f t="shared" si="98"/>
        <v>85337852.974604279</v>
      </c>
      <c r="F144" s="18">
        <f>'Opt 3 - Tier Allocation'!Q118</f>
        <v>69128321.560287952</v>
      </c>
      <c r="G144" s="1">
        <f t="shared" si="99"/>
        <v>0.55176137064328112</v>
      </c>
      <c r="H144" s="1">
        <f t="shared" si="100"/>
        <v>0.44823862935671888</v>
      </c>
      <c r="I144" s="39">
        <f t="shared" si="101"/>
        <v>2</v>
      </c>
      <c r="J144" s="41">
        <f t="shared" si="102"/>
        <v>1.9999999799999998E-2</v>
      </c>
      <c r="K144" s="4">
        <f t="shared" si="103"/>
        <v>1382566.4173800945</v>
      </c>
      <c r="L144" s="40">
        <f t="shared" si="104"/>
        <v>0.14519542189845067</v>
      </c>
      <c r="M144" s="39">
        <f t="shared" si="105"/>
        <v>7774454.4131727172</v>
      </c>
      <c r="N144" s="40">
        <f t="shared" si="106"/>
        <v>0.12715146661565874</v>
      </c>
      <c r="O144" s="16">
        <f t="shared" si="107"/>
        <v>0.13246409899547212</v>
      </c>
      <c r="P144" s="18"/>
      <c r="Q144" s="18">
        <f t="shared" si="108"/>
        <v>78285342.390840769</v>
      </c>
    </row>
    <row r="145" spans="1:17" ht="16" x14ac:dyDescent="0.2">
      <c r="A145" s="258"/>
      <c r="B145" s="14" t="s">
        <v>5</v>
      </c>
      <c r="C145" s="2">
        <f t="shared" si="96"/>
        <v>472940498.03249431</v>
      </c>
      <c r="D145" s="2">
        <f t="shared" si="97"/>
        <v>150078281.27167434</v>
      </c>
      <c r="E145" s="4">
        <f t="shared" si="98"/>
        <v>194064871.27641231</v>
      </c>
      <c r="F145" s="18">
        <f>'Opt 3 - Tier Allocation'!Q119</f>
        <v>128797345.48440766</v>
      </c>
      <c r="G145" s="1">
        <f t="shared" si="99"/>
        <v>0.58966324075913945</v>
      </c>
      <c r="H145" s="1">
        <f t="shared" si="100"/>
        <v>0.41033675924086055</v>
      </c>
      <c r="I145" s="39">
        <f t="shared" si="101"/>
        <v>2</v>
      </c>
      <c r="J145" s="41">
        <f t="shared" si="102"/>
        <v>1.9999999799999998E-2</v>
      </c>
      <c r="K145" s="4">
        <f t="shared" si="103"/>
        <v>2575946.8839286841</v>
      </c>
      <c r="L145" s="40">
        <f t="shared" si="104"/>
        <v>0.13291808196880178</v>
      </c>
      <c r="M145" s="39">
        <f t="shared" si="105"/>
        <v>7117067.1598415645</v>
      </c>
      <c r="N145" s="40">
        <f t="shared" si="106"/>
        <v>0.11639987570609368</v>
      </c>
      <c r="O145" s="16">
        <f t="shared" si="107"/>
        <v>7.5257871249712158E-2</v>
      </c>
      <c r="P145" s="18"/>
      <c r="Q145" s="18">
        <f t="shared" si="108"/>
        <v>138490359.52817792</v>
      </c>
    </row>
    <row r="146" spans="1:17" ht="16" x14ac:dyDescent="0.2">
      <c r="A146" s="258"/>
      <c r="B146" s="14" t="s">
        <v>6</v>
      </c>
      <c r="C146" s="2">
        <f t="shared" si="96"/>
        <v>342397787.99524975</v>
      </c>
      <c r="D146" s="2">
        <f t="shared" si="97"/>
        <v>149478417.03547159</v>
      </c>
      <c r="E146" s="4">
        <f t="shared" si="98"/>
        <v>28228079.07652992</v>
      </c>
      <c r="F146" s="18">
        <f>'Opt 3 - Tier Allocation'!Q120</f>
        <v>164691291.88324824</v>
      </c>
      <c r="G146" s="1">
        <f t="shared" si="99"/>
        <v>0.91755764766528936</v>
      </c>
      <c r="H146" s="1">
        <f t="shared" si="100"/>
        <v>8.2442352334710589E-2</v>
      </c>
      <c r="I146" s="39">
        <f t="shared" si="101"/>
        <v>1</v>
      </c>
      <c r="J146" s="41">
        <f t="shared" si="102"/>
        <v>1.9999999799999998E-2</v>
      </c>
      <c r="K146" s="4">
        <f t="shared" si="103"/>
        <v>3293825.8047267059</v>
      </c>
      <c r="L146" s="40">
        <f t="shared" si="104"/>
        <v>0.26613860566297343</v>
      </c>
      <c r="M146" s="39">
        <f t="shared" si="105"/>
        <v>2022251.8613785598</v>
      </c>
      <c r="N146" s="40">
        <f t="shared" si="106"/>
        <v>3.3073998042210555E-2</v>
      </c>
      <c r="O146" s="16">
        <f t="shared" si="107"/>
        <v>3.2279045268974522E-2</v>
      </c>
      <c r="P146" s="18"/>
      <c r="Q146" s="18">
        <f t="shared" si="108"/>
        <v>170007369.54935351</v>
      </c>
    </row>
    <row r="147" spans="1:17" ht="16" x14ac:dyDescent="0.2">
      <c r="A147" s="258"/>
      <c r="B147" s="14" t="s">
        <v>7</v>
      </c>
      <c r="C147" s="2">
        <f t="shared" si="96"/>
        <v>381229927.40171397</v>
      </c>
      <c r="D147" s="2">
        <f t="shared" si="97"/>
        <v>153056308.67801231</v>
      </c>
      <c r="E147" s="4">
        <f t="shared" si="98"/>
        <v>132854893.43528506</v>
      </c>
      <c r="F147" s="18">
        <f>'Opt 3 - Tier Allocation'!Q121</f>
        <v>95318725.288416594</v>
      </c>
      <c r="G147" s="1">
        <f t="shared" si="99"/>
        <v>0.65150980055327168</v>
      </c>
      <c r="H147" s="1">
        <f t="shared" si="100"/>
        <v>0.34849019944672832</v>
      </c>
      <c r="I147" s="39">
        <f t="shared" si="101"/>
        <v>2</v>
      </c>
      <c r="J147" s="41">
        <f t="shared" si="102"/>
        <v>1.9999999799999998E-2</v>
      </c>
      <c r="K147" s="4">
        <f t="shared" si="103"/>
        <v>1906374.4867045865</v>
      </c>
      <c r="L147" s="40">
        <f t="shared" si="104"/>
        <v>0.11288447318509649</v>
      </c>
      <c r="M147" s="39">
        <f t="shared" si="105"/>
        <v>6044372.3311493434</v>
      </c>
      <c r="N147" s="40">
        <f t="shared" si="106"/>
        <v>9.8855915261982383E-2</v>
      </c>
      <c r="O147" s="16">
        <f t="shared" si="107"/>
        <v>8.3412223503791724E-2</v>
      </c>
      <c r="P147" s="18"/>
      <c r="Q147" s="18">
        <f t="shared" si="108"/>
        <v>103269472.10627052</v>
      </c>
    </row>
    <row r="148" spans="1:17" ht="16" x14ac:dyDescent="0.2">
      <c r="A148" s="258"/>
      <c r="B148" s="14" t="s">
        <v>8</v>
      </c>
      <c r="C148" s="2">
        <f t="shared" si="96"/>
        <v>1055504366.8908188</v>
      </c>
      <c r="D148" s="2">
        <f t="shared" si="97"/>
        <v>389425696.23998922</v>
      </c>
      <c r="E148" s="4">
        <f t="shared" si="98"/>
        <v>363837539.25745237</v>
      </c>
      <c r="F148" s="18">
        <f>'Opt 3 - Tier Allocation'!Q122</f>
        <v>302241131.39337718</v>
      </c>
      <c r="G148" s="1">
        <f t="shared" si="99"/>
        <v>0.65529508861322627</v>
      </c>
      <c r="H148" s="1">
        <f t="shared" si="100"/>
        <v>0.34470491138677367</v>
      </c>
      <c r="I148" s="39">
        <f t="shared" si="101"/>
        <v>2</v>
      </c>
      <c r="J148" s="41">
        <f t="shared" si="102"/>
        <v>1.9999999799999998E-2</v>
      </c>
      <c r="K148" s="4">
        <f t="shared" si="103"/>
        <v>6044822.5674193166</v>
      </c>
      <c r="L148" s="40">
        <f t="shared" si="104"/>
        <v>0.11165832608202096</v>
      </c>
      <c r="M148" s="39">
        <f t="shared" si="105"/>
        <v>5978718.5754588125</v>
      </c>
      <c r="N148" s="40">
        <f t="shared" si="106"/>
        <v>9.7782145852423202E-2</v>
      </c>
      <c r="O148" s="16">
        <f t="shared" si="107"/>
        <v>3.9781286840238433E-2</v>
      </c>
      <c r="P148" s="18"/>
      <c r="Q148" s="18">
        <f t="shared" si="108"/>
        <v>314264672.5362553</v>
      </c>
    </row>
    <row r="149" spans="1:17" ht="16" x14ac:dyDescent="0.2">
      <c r="A149" s="258"/>
      <c r="B149" s="14" t="s">
        <v>9</v>
      </c>
      <c r="C149" s="2">
        <f t="shared" si="96"/>
        <v>107470986.01209855</v>
      </c>
      <c r="D149" s="2">
        <f t="shared" si="97"/>
        <v>46333920.934033334</v>
      </c>
      <c r="E149" s="4">
        <f t="shared" si="98"/>
        <v>17857201.885914497</v>
      </c>
      <c r="F149" s="18">
        <f>'Opt 3 - Tier Allocation'!Q123</f>
        <v>43279863.192150719</v>
      </c>
      <c r="G149" s="1">
        <f t="shared" si="99"/>
        <v>0.8338416483505211</v>
      </c>
      <c r="H149" s="1">
        <f t="shared" si="100"/>
        <v>0.16615835164947887</v>
      </c>
      <c r="I149" s="39">
        <f t="shared" si="101"/>
        <v>2</v>
      </c>
      <c r="J149" s="41">
        <f t="shared" si="102"/>
        <v>1.9999999799999998E-2</v>
      </c>
      <c r="K149" s="4">
        <f t="shared" si="103"/>
        <v>865597.25518704171</v>
      </c>
      <c r="L149" s="40">
        <f t="shared" si="104"/>
        <v>5.3822741704168522E-2</v>
      </c>
      <c r="M149" s="39">
        <f t="shared" si="105"/>
        <v>2881925.9333375255</v>
      </c>
      <c r="N149" s="40">
        <f t="shared" si="106"/>
        <v>4.7133996757468238E-2</v>
      </c>
      <c r="O149" s="16">
        <f t="shared" si="107"/>
        <v>8.658814774636861E-2</v>
      </c>
      <c r="P149" s="18"/>
      <c r="Q149" s="18">
        <f t="shared" si="108"/>
        <v>47027386.380675286</v>
      </c>
    </row>
    <row r="150" spans="1:17" ht="16" x14ac:dyDescent="0.2">
      <c r="A150" s="258"/>
      <c r="B150" s="14" t="s">
        <v>10</v>
      </c>
      <c r="C150" s="2">
        <f t="shared" si="96"/>
        <v>1441446781.1087141</v>
      </c>
      <c r="D150" s="2">
        <f t="shared" si="97"/>
        <v>955739507.29565871</v>
      </c>
      <c r="E150" s="4">
        <f t="shared" si="98"/>
        <v>131382283.78843427</v>
      </c>
      <c r="F150" s="18">
        <f>'Opt 3 - Tier Allocation'!Q124</f>
        <v>354324990.02462113</v>
      </c>
      <c r="G150" s="1">
        <f t="shared" si="99"/>
        <v>0.90885387826293573</v>
      </c>
      <c r="H150" s="1">
        <f t="shared" si="100"/>
        <v>9.1146121737064253E-2</v>
      </c>
      <c r="I150" s="39">
        <f t="shared" si="101"/>
        <v>1</v>
      </c>
      <c r="J150" s="41">
        <f t="shared" si="102"/>
        <v>1.9999999799999998E-2</v>
      </c>
      <c r="K150" s="4">
        <f t="shared" si="103"/>
        <v>7086499.7296274239</v>
      </c>
      <c r="L150" s="40">
        <f t="shared" si="104"/>
        <v>0.29423592442154045</v>
      </c>
      <c r="M150" s="39">
        <f t="shared" si="105"/>
        <v>2235749.0915820319</v>
      </c>
      <c r="N150" s="40">
        <f t="shared" si="106"/>
        <v>3.6565752510891537E-2</v>
      </c>
      <c r="O150" s="16">
        <f t="shared" si="107"/>
        <v>2.6309882406436187E-2</v>
      </c>
      <c r="P150" s="18"/>
      <c r="Q150" s="18">
        <f t="shared" si="108"/>
        <v>363647238.84583056</v>
      </c>
    </row>
    <row r="151" spans="1:17" ht="16" x14ac:dyDescent="0.2">
      <c r="A151" s="258"/>
      <c r="B151" s="14" t="s">
        <v>11</v>
      </c>
      <c r="C151" s="2">
        <f t="shared" si="96"/>
        <v>226528594.45100912</v>
      </c>
      <c r="D151" s="2">
        <f t="shared" si="97"/>
        <v>79134801.30006662</v>
      </c>
      <c r="E151" s="4">
        <f t="shared" si="98"/>
        <v>67718241.174990669</v>
      </c>
      <c r="F151" s="18">
        <f>'Opt 3 - Tier Allocation'!Q125</f>
        <v>79675551.975951836</v>
      </c>
      <c r="G151" s="1">
        <f t="shared" si="99"/>
        <v>0.70106095727514894</v>
      </c>
      <c r="H151" s="1">
        <f t="shared" si="100"/>
        <v>0.29893904272485106</v>
      </c>
      <c r="I151" s="39">
        <f t="shared" si="101"/>
        <v>2</v>
      </c>
      <c r="J151" s="41">
        <f t="shared" si="102"/>
        <v>1.9999999799999998E-2</v>
      </c>
      <c r="K151" s="4">
        <f t="shared" si="103"/>
        <v>1593511.023583926</v>
      </c>
      <c r="L151" s="40">
        <f t="shared" si="104"/>
        <v>9.6833645267577609E-2</v>
      </c>
      <c r="M151" s="39">
        <f t="shared" si="105"/>
        <v>5184934.5588915804</v>
      </c>
      <c r="N151" s="40">
        <f t="shared" si="106"/>
        <v>8.4799781236382904E-2</v>
      </c>
      <c r="O151" s="16">
        <f t="shared" si="107"/>
        <v>8.5075602419691032E-2</v>
      </c>
      <c r="P151" s="18"/>
      <c r="Q151" s="18">
        <f t="shared" si="108"/>
        <v>86453997.558427349</v>
      </c>
    </row>
    <row r="152" spans="1:17" ht="16" x14ac:dyDescent="0.2">
      <c r="A152" s="258"/>
      <c r="B152" s="14"/>
      <c r="C152" s="2"/>
      <c r="D152" s="2"/>
      <c r="E152" s="4"/>
      <c r="F152" s="18"/>
      <c r="G152" s="1"/>
      <c r="H152" s="1"/>
      <c r="I152" s="39"/>
      <c r="J152" s="39"/>
      <c r="K152" s="39"/>
      <c r="L152" s="39"/>
      <c r="M152" s="39"/>
      <c r="N152" s="39"/>
      <c r="O152" s="16"/>
      <c r="P152" s="16"/>
      <c r="Q152" s="16"/>
    </row>
    <row r="153" spans="1:17" x14ac:dyDescent="0.2">
      <c r="A153" s="258"/>
      <c r="B153" s="15" t="s">
        <v>14</v>
      </c>
      <c r="C153" s="30">
        <f>SUM(C140:C151)</f>
        <v>5178565029.4695654</v>
      </c>
      <c r="D153" s="30">
        <f>SUM(D140:D151)</f>
        <v>2271551594.2955785</v>
      </c>
      <c r="E153" s="30">
        <f>SUM(E140:E151)</f>
        <v>1378432094.1108327</v>
      </c>
      <c r="F153" s="30">
        <f>SUM(F140:F151)</f>
        <v>1528581341.0631549</v>
      </c>
      <c r="G153" s="11">
        <f>1-H153</f>
        <v>0.73381968049708468</v>
      </c>
      <c r="H153" s="11">
        <f>MAX(0,E153/C153)</f>
        <v>0.26618031950291526</v>
      </c>
      <c r="I153" s="11"/>
      <c r="J153" s="11"/>
      <c r="K153" s="30">
        <f>SUM(K140:K151)</f>
        <v>30571626.515546821</v>
      </c>
      <c r="L153" s="11"/>
      <c r="M153" s="30">
        <f>SUM(M140:M151)</f>
        <v>61143253.948242635</v>
      </c>
      <c r="N153" s="11"/>
      <c r="O153" s="16"/>
      <c r="P153" s="16"/>
      <c r="Q153" s="30">
        <f>SUM(Q140:Q151)</f>
        <v>1620296221.5269442</v>
      </c>
    </row>
    <row r="154" spans="1:17" x14ac:dyDescent="0.2">
      <c r="G154" s="21">
        <f>SUM(G140:G151)</f>
        <v>8.6030875205628554</v>
      </c>
      <c r="H154" s="21">
        <f>SUM(H140:H151)</f>
        <v>3.396912479437145</v>
      </c>
      <c r="I154" s="21"/>
      <c r="J154" s="21"/>
      <c r="K154" s="21"/>
      <c r="L154" s="21"/>
      <c r="M154" s="21"/>
      <c r="N154" s="21"/>
      <c r="O154" s="21"/>
      <c r="P154" s="21"/>
      <c r="Q154" s="21"/>
    </row>
    <row r="157" spans="1:17" ht="48" x14ac:dyDescent="0.2">
      <c r="A157" s="257">
        <v>6</v>
      </c>
      <c r="B157" t="s">
        <v>26</v>
      </c>
      <c r="C157" s="4">
        <f>'Opt 3 - Tier Allocation'!C132</f>
        <v>1620296221.5269439</v>
      </c>
      <c r="D157" s="4"/>
      <c r="F157" s="48" t="s">
        <v>68</v>
      </c>
      <c r="G157" s="47" t="s">
        <v>62</v>
      </c>
      <c r="H157" s="48" t="s">
        <v>55</v>
      </c>
      <c r="I157" s="48" t="s">
        <v>54</v>
      </c>
      <c r="J157" s="48" t="s">
        <v>56</v>
      </c>
    </row>
    <row r="158" spans="1:17" x14ac:dyDescent="0.2">
      <c r="A158" s="257"/>
      <c r="B158" t="s">
        <v>27</v>
      </c>
      <c r="C158" s="6">
        <f>C157*(1+C159)</f>
        <v>1717513994.8185606</v>
      </c>
      <c r="D158" s="6"/>
      <c r="F158" t="s">
        <v>53</v>
      </c>
      <c r="G158" s="7">
        <v>1</v>
      </c>
      <c r="H158" s="4">
        <f>SUMIF(I$166:I$177,G158,E$166:E$177)</f>
        <v>190550153.67528424</v>
      </c>
      <c r="I158" s="1">
        <f>H158/SUM(H$158:H$160)</f>
        <v>0.13869009644965702</v>
      </c>
      <c r="J158" s="6">
        <f>($C$161-$K$179)*I158</f>
        <v>8988761.6145672817</v>
      </c>
      <c r="K158" s="1"/>
      <c r="M158" s="6"/>
      <c r="N158" s="6"/>
    </row>
    <row r="159" spans="1:17" x14ac:dyDescent="0.2">
      <c r="A159" s="257"/>
      <c r="B159" t="s">
        <v>28</v>
      </c>
      <c r="C159" s="19">
        <f>$C$3</f>
        <v>0.06</v>
      </c>
      <c r="D159" s="19"/>
      <c r="F159" s="38" t="s">
        <v>69</v>
      </c>
      <c r="G159" s="7">
        <v>2</v>
      </c>
      <c r="H159" s="4">
        <f>SUMIF(I$166:I$177,G159,E$166:E$177)</f>
        <v>1183377463.0269787</v>
      </c>
      <c r="I159" s="1">
        <f>H159/SUM(H$158:H$160)</f>
        <v>0.86130990355034309</v>
      </c>
      <c r="J159" s="6">
        <f>($C$161-$K$179)*I159</f>
        <v>55823087.570569776</v>
      </c>
      <c r="K159" s="1"/>
      <c r="M159" s="6"/>
      <c r="N159" s="6"/>
    </row>
    <row r="160" spans="1:17" x14ac:dyDescent="0.2">
      <c r="A160" s="257"/>
      <c r="B160" t="s">
        <v>16</v>
      </c>
      <c r="C160" s="20">
        <f>$C$4</f>
        <v>0.03</v>
      </c>
      <c r="D160" s="20"/>
      <c r="F160" t="s">
        <v>70</v>
      </c>
      <c r="G160" s="7">
        <v>3</v>
      </c>
      <c r="H160" s="4">
        <f>SUMIF(I$166:I$177,G160,E$166:E$177)</f>
        <v>0</v>
      </c>
      <c r="I160" s="1">
        <f>H160/SUM(H$158:H$160)</f>
        <v>0</v>
      </c>
      <c r="J160" s="6">
        <f>($C$161-$K$179)*I160</f>
        <v>0</v>
      </c>
      <c r="K160" s="1"/>
      <c r="M160" s="6"/>
      <c r="N160" s="6"/>
    </row>
    <row r="161" spans="1:37" x14ac:dyDescent="0.2">
      <c r="A161" s="257"/>
      <c r="B161" t="s">
        <v>31</v>
      </c>
      <c r="C161" s="6">
        <f>C158-C157</f>
        <v>97217773.291616678</v>
      </c>
      <c r="D161" s="6"/>
    </row>
    <row r="162" spans="1:37" x14ac:dyDescent="0.2">
      <c r="A162" s="257"/>
      <c r="B162" t="s">
        <v>59</v>
      </c>
      <c r="C162" s="16">
        <f>$C$7</f>
        <v>0.66666665999999997</v>
      </c>
      <c r="D162" s="16"/>
      <c r="S162" s="14"/>
      <c r="T162" s="2"/>
      <c r="U162" s="31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</row>
    <row r="163" spans="1:37" x14ac:dyDescent="0.2">
      <c r="A163" s="257"/>
      <c r="B163" t="s">
        <v>48</v>
      </c>
      <c r="C163" s="20">
        <f>((1+$C$4)^A157)-1</f>
        <v>0.19405229652899991</v>
      </c>
      <c r="D163" s="16"/>
    </row>
    <row r="164" spans="1:37" x14ac:dyDescent="0.2">
      <c r="A164" s="257"/>
    </row>
    <row r="165" spans="1:37" ht="49" thickBot="1" x14ac:dyDescent="0.25">
      <c r="A165" s="258" t="s">
        <v>51</v>
      </c>
      <c r="B165" s="22" t="s">
        <v>12</v>
      </c>
      <c r="C165" s="13" t="s">
        <v>15</v>
      </c>
      <c r="D165" s="13" t="s">
        <v>63</v>
      </c>
      <c r="E165" s="13" t="s">
        <v>13</v>
      </c>
      <c r="F165" s="13" t="s">
        <v>29</v>
      </c>
      <c r="G165" s="13" t="s">
        <v>50</v>
      </c>
      <c r="H165" s="13" t="s">
        <v>17</v>
      </c>
      <c r="I165" s="13" t="s">
        <v>52</v>
      </c>
      <c r="J165" s="13" t="s">
        <v>59</v>
      </c>
      <c r="K165" s="13" t="s">
        <v>60</v>
      </c>
      <c r="L165" s="13" t="s">
        <v>61</v>
      </c>
      <c r="M165" s="13" t="s">
        <v>58</v>
      </c>
      <c r="N165" s="13" t="s">
        <v>57</v>
      </c>
      <c r="O165" s="28" t="s">
        <v>25</v>
      </c>
      <c r="P165" s="28"/>
      <c r="Q165" s="28" t="s">
        <v>32</v>
      </c>
    </row>
    <row r="166" spans="1:37" ht="17" thickTop="1" x14ac:dyDescent="0.2">
      <c r="A166" s="258"/>
      <c r="B166" s="14" t="s">
        <v>0</v>
      </c>
      <c r="C166" s="2">
        <f t="shared" ref="C166:C177" si="109">VLOOKUP($B166,$B$9:$O$22,2,FALSE)*(1+$C$163)</f>
        <v>88432728.155944347</v>
      </c>
      <c r="D166" s="2">
        <f t="shared" ref="D166:D177" si="110">VLOOKUP($B166,$B$9:$O$22,3,FALSE)*(1+$C$163)</f>
        <v>17379327.806172822</v>
      </c>
      <c r="E166" s="4">
        <f t="shared" ref="E166:E177" si="111">C166-D166-F166</f>
        <v>9275527.3047178462</v>
      </c>
      <c r="F166" s="18">
        <f>'Opt 3 - Tier Allocation'!Q140</f>
        <v>61777873.045053683</v>
      </c>
      <c r="G166" s="1">
        <f t="shared" ref="G166:G177" si="112">1-H166</f>
        <v>0.8951120529905946</v>
      </c>
      <c r="H166" s="1">
        <f t="shared" ref="H166:H177" si="113">MAX(0,E166/C166)</f>
        <v>0.10488794700940543</v>
      </c>
      <c r="I166" s="39">
        <f t="shared" ref="I166:I177" si="114">IF(H166&lt;0.15,1,IF(H166&gt;0.46,3,2))</f>
        <v>1</v>
      </c>
      <c r="J166" s="41">
        <f t="shared" ref="J166:J177" si="115">MIN($C$4,($C$3*0.5))*$C$7</f>
        <v>1.9999999799999998E-2</v>
      </c>
      <c r="K166" s="4">
        <f t="shared" ref="K166:K177" si="116">J166*F166</f>
        <v>1235557.448545499</v>
      </c>
      <c r="L166" s="40">
        <f t="shared" ref="L166:L177" si="117">H166/SUMIF($I$166:$I$177,I166,$H$166:$H$177)</f>
        <v>0.24835767877617487</v>
      </c>
      <c r="M166" s="39">
        <f t="shared" ref="M166:M177" si="118">L166*VLOOKUP(I166,$G$157:$J$160,4,FALSE)</f>
        <v>2232427.969666312</v>
      </c>
      <c r="N166" s="40">
        <f t="shared" ref="N166:N177" si="119">M166/SUM($M$166:$M$177)</f>
        <v>3.4444750423480629E-2</v>
      </c>
      <c r="O166" s="16">
        <f t="shared" ref="O166:O177" si="120">(K166+M166)/F166</f>
        <v>5.6136368043662836E-2</v>
      </c>
      <c r="P166" s="18"/>
      <c r="Q166" s="18">
        <f t="shared" ref="Q166:Q177" si="121">M166+K166+F166</f>
        <v>65245858.463265494</v>
      </c>
    </row>
    <row r="167" spans="1:37" ht="16" x14ac:dyDescent="0.2">
      <c r="A167" s="258"/>
      <c r="B167" s="14" t="s">
        <v>1</v>
      </c>
      <c r="C167" s="2">
        <f t="shared" si="109"/>
        <v>196978534.94935286</v>
      </c>
      <c r="D167" s="2">
        <f t="shared" si="110"/>
        <v>65951399.702857271</v>
      </c>
      <c r="E167" s="4">
        <f t="shared" si="111"/>
        <v>53527406.801317036</v>
      </c>
      <c r="F167" s="18">
        <f>'Opt 3 - Tier Allocation'!Q141</f>
        <v>77499728.445178553</v>
      </c>
      <c r="G167" s="1">
        <f t="shared" si="112"/>
        <v>0.7282576661711897</v>
      </c>
      <c r="H167" s="1">
        <f t="shared" si="113"/>
        <v>0.27174233382881036</v>
      </c>
      <c r="I167" s="39">
        <f t="shared" si="114"/>
        <v>2</v>
      </c>
      <c r="J167" s="41">
        <f t="shared" si="115"/>
        <v>1.9999999799999998E-2</v>
      </c>
      <c r="K167" s="4">
        <f t="shared" si="116"/>
        <v>1549994.5534036253</v>
      </c>
      <c r="L167" s="40">
        <f t="shared" si="117"/>
        <v>9.8262726827850436E-2</v>
      </c>
      <c r="M167" s="39">
        <f t="shared" si="118"/>
        <v>5485328.804634071</v>
      </c>
      <c r="N167" s="40">
        <f t="shared" si="119"/>
        <v>8.4634659766689574E-2</v>
      </c>
      <c r="O167" s="16">
        <f t="shared" si="120"/>
        <v>9.077868399260669E-2</v>
      </c>
      <c r="P167" s="18"/>
      <c r="Q167" s="18">
        <f t="shared" si="121"/>
        <v>84535051.803216249</v>
      </c>
    </row>
    <row r="168" spans="1:37" ht="16" x14ac:dyDescent="0.2">
      <c r="A168" s="258"/>
      <c r="B168" s="14" t="s">
        <v>2</v>
      </c>
      <c r="C168" s="2">
        <f t="shared" si="109"/>
        <v>133555272.16961816</v>
      </c>
      <c r="D168" s="2">
        <f t="shared" si="110"/>
        <v>33729812.22796087</v>
      </c>
      <c r="E168" s="4">
        <f t="shared" si="111"/>
        <v>39089786.530967936</v>
      </c>
      <c r="F168" s="18">
        <f>'Opt 3 - Tier Allocation'!Q142</f>
        <v>60735673.410689354</v>
      </c>
      <c r="G168" s="1">
        <f t="shared" si="112"/>
        <v>0.70731378929524369</v>
      </c>
      <c r="H168" s="1">
        <f t="shared" si="113"/>
        <v>0.29268621070475631</v>
      </c>
      <c r="I168" s="39">
        <f t="shared" si="114"/>
        <v>2</v>
      </c>
      <c r="J168" s="41">
        <f t="shared" si="115"/>
        <v>1.9999999799999998E-2</v>
      </c>
      <c r="K168" s="4">
        <f t="shared" si="116"/>
        <v>1214713.4560666522</v>
      </c>
      <c r="L168" s="40">
        <f t="shared" si="117"/>
        <v>0.10583608657338678</v>
      </c>
      <c r="M168" s="39">
        <f t="shared" si="118"/>
        <v>5908097.1289125746</v>
      </c>
      <c r="N168" s="40">
        <f t="shared" si="119"/>
        <v>9.1157669518669535E-2</v>
      </c>
      <c r="O168" s="16">
        <f t="shared" si="120"/>
        <v>0.11727556780041606</v>
      </c>
      <c r="P168" s="18"/>
      <c r="Q168" s="18">
        <f t="shared" si="121"/>
        <v>67858483.995668575</v>
      </c>
    </row>
    <row r="169" spans="1:37" ht="16" x14ac:dyDescent="0.2">
      <c r="A169" s="258"/>
      <c r="B169" s="14" t="s">
        <v>3</v>
      </c>
      <c r="C169" s="2">
        <f t="shared" si="109"/>
        <v>570514519.29968476</v>
      </c>
      <c r="D169" s="2">
        <f t="shared" si="110"/>
        <v>204697005.79064944</v>
      </c>
      <c r="E169" s="4">
        <f t="shared" si="111"/>
        <v>246980405.778844</v>
      </c>
      <c r="F169" s="18">
        <f>'Opt 3 - Tier Allocation'!Q143</f>
        <v>118837107.73019134</v>
      </c>
      <c r="G169" s="1">
        <f t="shared" si="112"/>
        <v>0.5670918137508294</v>
      </c>
      <c r="H169" s="1">
        <f t="shared" si="113"/>
        <v>0.43290818624917066</v>
      </c>
      <c r="I169" s="39">
        <f t="shared" si="114"/>
        <v>2</v>
      </c>
      <c r="J169" s="41">
        <f t="shared" si="115"/>
        <v>1.9999999799999998E-2</v>
      </c>
      <c r="K169" s="4">
        <f t="shared" si="116"/>
        <v>2376742.1308364049</v>
      </c>
      <c r="L169" s="40">
        <f t="shared" si="117"/>
        <v>0.15654071357810817</v>
      </c>
      <c r="M169" s="39">
        <f t="shared" si="118"/>
        <v>8738585.9624302126</v>
      </c>
      <c r="N169" s="40">
        <f t="shared" si="119"/>
        <v>0.13483006691366223</v>
      </c>
      <c r="O169" s="16">
        <f t="shared" si="120"/>
        <v>9.3534151962894801E-2</v>
      </c>
      <c r="P169" s="18"/>
      <c r="Q169" s="18">
        <f t="shared" si="121"/>
        <v>129952435.82345796</v>
      </c>
    </row>
    <row r="170" spans="1:37" ht="16" x14ac:dyDescent="0.2">
      <c r="A170" s="258"/>
      <c r="B170" s="14" t="s">
        <v>4</v>
      </c>
      <c r="C170" s="2">
        <f t="shared" si="109"/>
        <v>196096415.6301913</v>
      </c>
      <c r="D170" s="2">
        <f t="shared" si="110"/>
        <v>36996255.859252296</v>
      </c>
      <c r="E170" s="4">
        <f t="shared" si="111"/>
        <v>80814817.380098224</v>
      </c>
      <c r="F170" s="18">
        <f>'Opt 3 - Tier Allocation'!Q144</f>
        <v>78285342.390840769</v>
      </c>
      <c r="G170" s="1">
        <f t="shared" si="112"/>
        <v>0.58788223068542478</v>
      </c>
      <c r="H170" s="1">
        <f t="shared" si="113"/>
        <v>0.41211776931457517</v>
      </c>
      <c r="I170" s="39">
        <f t="shared" si="114"/>
        <v>2</v>
      </c>
      <c r="J170" s="41">
        <f t="shared" si="115"/>
        <v>1.9999999799999998E-2</v>
      </c>
      <c r="K170" s="4">
        <f t="shared" si="116"/>
        <v>1565706.8321597467</v>
      </c>
      <c r="L170" s="40">
        <f t="shared" si="117"/>
        <v>0.14902284534205976</v>
      </c>
      <c r="M170" s="39">
        <f t="shared" si="118"/>
        <v>8318915.3455452779</v>
      </c>
      <c r="N170" s="40">
        <f t="shared" si="119"/>
        <v>0.12835485254836718</v>
      </c>
      <c r="O170" s="16">
        <f t="shared" si="120"/>
        <v>0.12626402179294174</v>
      </c>
      <c r="P170" s="18"/>
      <c r="Q170" s="18">
        <f t="shared" si="121"/>
        <v>88169964.568545789</v>
      </c>
    </row>
    <row r="171" spans="1:37" ht="16" x14ac:dyDescent="0.2">
      <c r="A171" s="258"/>
      <c r="B171" s="14" t="s">
        <v>5</v>
      </c>
      <c r="C171" s="2">
        <f t="shared" si="109"/>
        <v>487128712.9734692</v>
      </c>
      <c r="D171" s="2">
        <f t="shared" si="110"/>
        <v>154580629.70982459</v>
      </c>
      <c r="E171" s="4">
        <f t="shared" si="111"/>
        <v>194057723.73546666</v>
      </c>
      <c r="F171" s="18">
        <f>'Opt 3 - Tier Allocation'!Q145</f>
        <v>138490359.52817792</v>
      </c>
      <c r="G171" s="1">
        <f t="shared" si="112"/>
        <v>0.60162946965100006</v>
      </c>
      <c r="H171" s="1">
        <f t="shared" si="113"/>
        <v>0.39837053034899989</v>
      </c>
      <c r="I171" s="39">
        <f t="shared" si="114"/>
        <v>2</v>
      </c>
      <c r="J171" s="41">
        <f t="shared" si="115"/>
        <v>1.9999999799999998E-2</v>
      </c>
      <c r="K171" s="4">
        <f t="shared" si="116"/>
        <v>2769807.162865486</v>
      </c>
      <c r="L171" s="40">
        <f t="shared" si="117"/>
        <v>0.14405180837450912</v>
      </c>
      <c r="M171" s="39">
        <f t="shared" si="118"/>
        <v>8041416.7135891598</v>
      </c>
      <c r="N171" s="40">
        <f t="shared" si="119"/>
        <v>0.12407324917730098</v>
      </c>
      <c r="O171" s="16">
        <f t="shared" si="120"/>
        <v>7.8064811971658876E-2</v>
      </c>
      <c r="P171" s="18"/>
      <c r="Q171" s="18">
        <f t="shared" si="121"/>
        <v>149301583.40463257</v>
      </c>
    </row>
    <row r="172" spans="1:37" ht="16" x14ac:dyDescent="0.2">
      <c r="A172" s="258"/>
      <c r="B172" s="14" t="s">
        <v>6</v>
      </c>
      <c r="C172" s="2">
        <f t="shared" si="109"/>
        <v>352669721.63510722</v>
      </c>
      <c r="D172" s="2">
        <f t="shared" si="110"/>
        <v>153962769.54653576</v>
      </c>
      <c r="E172" s="4">
        <f t="shared" si="111"/>
        <v>28699582.539217949</v>
      </c>
      <c r="F172" s="18">
        <f>'Opt 3 - Tier Allocation'!Q146</f>
        <v>170007369.54935351</v>
      </c>
      <c r="G172" s="1">
        <f t="shared" si="112"/>
        <v>0.91862192646945684</v>
      </c>
      <c r="H172" s="1">
        <f t="shared" si="113"/>
        <v>8.1378073530543174E-2</v>
      </c>
      <c r="I172" s="39">
        <f t="shared" si="114"/>
        <v>1</v>
      </c>
      <c r="J172" s="41">
        <f t="shared" si="115"/>
        <v>1.9999999799999998E-2</v>
      </c>
      <c r="K172" s="4">
        <f t="shared" si="116"/>
        <v>3400147.356985596</v>
      </c>
      <c r="L172" s="40">
        <f t="shared" si="117"/>
        <v>0.19269010426441321</v>
      </c>
      <c r="M172" s="39">
        <f t="shared" si="118"/>
        <v>1732045.4127189247</v>
      </c>
      <c r="N172" s="40">
        <f t="shared" si="119"/>
        <v>2.6724209145325934E-2</v>
      </c>
      <c r="O172" s="16">
        <f t="shared" si="120"/>
        <v>3.0188060572366154E-2</v>
      </c>
      <c r="P172" s="18"/>
      <c r="Q172" s="18">
        <f t="shared" si="121"/>
        <v>175139562.31905803</v>
      </c>
    </row>
    <row r="173" spans="1:37" ht="16" x14ac:dyDescent="0.2">
      <c r="A173" s="258"/>
      <c r="B173" s="14" t="s">
        <v>7</v>
      </c>
      <c r="C173" s="2">
        <f t="shared" si="109"/>
        <v>392666825.22376543</v>
      </c>
      <c r="D173" s="2">
        <f t="shared" si="110"/>
        <v>157647997.93835267</v>
      </c>
      <c r="E173" s="4">
        <f t="shared" si="111"/>
        <v>131749355.17914224</v>
      </c>
      <c r="F173" s="18">
        <f>'Opt 3 - Tier Allocation'!Q147</f>
        <v>103269472.10627052</v>
      </c>
      <c r="G173" s="1">
        <f t="shared" si="112"/>
        <v>0.66447546185226258</v>
      </c>
      <c r="H173" s="1">
        <f t="shared" si="113"/>
        <v>0.33552453814773742</v>
      </c>
      <c r="I173" s="39">
        <f t="shared" si="114"/>
        <v>2</v>
      </c>
      <c r="J173" s="41">
        <f t="shared" si="115"/>
        <v>1.9999999799999998E-2</v>
      </c>
      <c r="K173" s="4">
        <f t="shared" si="116"/>
        <v>2065389.4214715157</v>
      </c>
      <c r="L173" s="40">
        <f t="shared" si="117"/>
        <v>0.1213265359560121</v>
      </c>
      <c r="M173" s="39">
        <f t="shared" si="118"/>
        <v>6772821.8413063465</v>
      </c>
      <c r="N173" s="40">
        <f t="shared" si="119"/>
        <v>0.10449974698237002</v>
      </c>
      <c r="O173" s="16">
        <f t="shared" si="120"/>
        <v>8.5583968645475475E-2</v>
      </c>
      <c r="P173" s="18"/>
      <c r="Q173" s="18">
        <f t="shared" si="121"/>
        <v>112107683.36904839</v>
      </c>
    </row>
    <row r="174" spans="1:37" ht="16" x14ac:dyDescent="0.2">
      <c r="A174" s="258"/>
      <c r="B174" s="14" t="s">
        <v>8</v>
      </c>
      <c r="C174" s="2">
        <f t="shared" si="109"/>
        <v>1087169497.8975434</v>
      </c>
      <c r="D174" s="2">
        <f t="shared" si="110"/>
        <v>401108467.12718892</v>
      </c>
      <c r="E174" s="4">
        <f t="shared" si="111"/>
        <v>371796358.23409921</v>
      </c>
      <c r="F174" s="18">
        <f>'Opt 3 - Tier Allocation'!Q148</f>
        <v>314264672.5362553</v>
      </c>
      <c r="G174" s="1">
        <f t="shared" si="112"/>
        <v>0.65801435842974887</v>
      </c>
      <c r="H174" s="1">
        <f t="shared" si="113"/>
        <v>0.34198564157025119</v>
      </c>
      <c r="I174" s="39">
        <f t="shared" si="114"/>
        <v>2</v>
      </c>
      <c r="J174" s="41">
        <f t="shared" si="115"/>
        <v>1.9999999799999998E-2</v>
      </c>
      <c r="K174" s="4">
        <f t="shared" si="116"/>
        <v>6285293.3878721707</v>
      </c>
      <c r="L174" s="40">
        <f t="shared" si="117"/>
        <v>0.1236628875714101</v>
      </c>
      <c r="M174" s="39">
        <f t="shared" si="118"/>
        <v>6903244.2021283507</v>
      </c>
      <c r="N174" s="40">
        <f t="shared" si="119"/>
        <v>0.10651206976688816</v>
      </c>
      <c r="O174" s="16">
        <f t="shared" si="120"/>
        <v>4.1966338384658936E-2</v>
      </c>
      <c r="P174" s="18"/>
      <c r="Q174" s="18">
        <f t="shared" si="121"/>
        <v>327453210.12625581</v>
      </c>
    </row>
    <row r="175" spans="1:37" ht="16" x14ac:dyDescent="0.2">
      <c r="A175" s="258"/>
      <c r="B175" s="14" t="s">
        <v>9</v>
      </c>
      <c r="C175" s="2">
        <f t="shared" si="109"/>
        <v>110695115.59246151</v>
      </c>
      <c r="D175" s="2">
        <f t="shared" si="110"/>
        <v>47723938.562054336</v>
      </c>
      <c r="E175" s="4">
        <f t="shared" si="111"/>
        <v>15943790.649731889</v>
      </c>
      <c r="F175" s="18">
        <f>'Opt 3 - Tier Allocation'!Q149</f>
        <v>47027386.380675286</v>
      </c>
      <c r="G175" s="1">
        <f t="shared" si="112"/>
        <v>0.85596662902064236</v>
      </c>
      <c r="H175" s="1">
        <f t="shared" si="113"/>
        <v>0.14403337097935767</v>
      </c>
      <c r="I175" s="39">
        <f t="shared" si="114"/>
        <v>1</v>
      </c>
      <c r="J175" s="41">
        <f t="shared" si="115"/>
        <v>1.9999999799999998E-2</v>
      </c>
      <c r="K175" s="4">
        <f t="shared" si="116"/>
        <v>940547.71820802835</v>
      </c>
      <c r="L175" s="40">
        <f t="shared" si="117"/>
        <v>0.34104770569618681</v>
      </c>
      <c r="M175" s="39">
        <f t="shared" si="118"/>
        <v>3065596.525698123</v>
      </c>
      <c r="N175" s="40">
        <f t="shared" si="119"/>
        <v>4.7299939196938388E-2</v>
      </c>
      <c r="O175" s="16">
        <f t="shared" si="120"/>
        <v>8.5187473772779659E-2</v>
      </c>
      <c r="P175" s="18"/>
      <c r="Q175" s="18">
        <f t="shared" si="121"/>
        <v>51033530.624581441</v>
      </c>
    </row>
    <row r="176" spans="1:37" ht="16" x14ac:dyDescent="0.2">
      <c r="A176" s="258"/>
      <c r="B176" s="14" t="s">
        <v>10</v>
      </c>
      <c r="C176" s="2">
        <f t="shared" si="109"/>
        <v>1484690184.5419757</v>
      </c>
      <c r="D176" s="2">
        <f t="shared" si="110"/>
        <v>984411692.51452863</v>
      </c>
      <c r="E176" s="4">
        <f t="shared" si="111"/>
        <v>136631253.18161654</v>
      </c>
      <c r="F176" s="18">
        <f>'Opt 3 - Tier Allocation'!Q150</f>
        <v>363647238.84583056</v>
      </c>
      <c r="G176" s="1">
        <f t="shared" si="112"/>
        <v>0.90797322255904378</v>
      </c>
      <c r="H176" s="1">
        <f t="shared" si="113"/>
        <v>9.2026777440956165E-2</v>
      </c>
      <c r="I176" s="39">
        <f t="shared" si="114"/>
        <v>1</v>
      </c>
      <c r="J176" s="41">
        <f t="shared" si="115"/>
        <v>1.9999999799999998E-2</v>
      </c>
      <c r="K176" s="4">
        <f t="shared" si="116"/>
        <v>7272944.7041871622</v>
      </c>
      <c r="L176" s="40">
        <f t="shared" si="117"/>
        <v>0.21790451126322496</v>
      </c>
      <c r="M176" s="39">
        <f t="shared" si="118"/>
        <v>1958691.7064839203</v>
      </c>
      <c r="N176" s="40">
        <f t="shared" si="119"/>
        <v>3.0221197683912043E-2</v>
      </c>
      <c r="O176" s="16">
        <f t="shared" si="120"/>
        <v>2.5386240907455001E-2</v>
      </c>
      <c r="P176" s="18"/>
      <c r="Q176" s="18">
        <f t="shared" si="121"/>
        <v>372878875.25650162</v>
      </c>
    </row>
    <row r="177" spans="1:37" ht="16" x14ac:dyDescent="0.2">
      <c r="A177" s="258"/>
      <c r="B177" s="14" t="s">
        <v>11</v>
      </c>
      <c r="C177" s="2">
        <f t="shared" si="109"/>
        <v>233324452.28453943</v>
      </c>
      <c r="D177" s="2">
        <f t="shared" si="110"/>
        <v>81508845.339068621</v>
      </c>
      <c r="E177" s="4">
        <f t="shared" si="111"/>
        <v>65361609.387043461</v>
      </c>
      <c r="F177" s="18">
        <f>'Opt 3 - Tier Allocation'!Q151</f>
        <v>86453997.558427349</v>
      </c>
      <c r="G177" s="1">
        <f t="shared" si="112"/>
        <v>0.71986815463586773</v>
      </c>
      <c r="H177" s="1">
        <f t="shared" si="113"/>
        <v>0.28013184536413227</v>
      </c>
      <c r="I177" s="39">
        <f t="shared" si="114"/>
        <v>2</v>
      </c>
      <c r="J177" s="41">
        <f t="shared" si="115"/>
        <v>1.9999999799999998E-2</v>
      </c>
      <c r="K177" s="4">
        <f t="shared" si="116"/>
        <v>1729079.9338777473</v>
      </c>
      <c r="L177" s="40">
        <f t="shared" si="117"/>
        <v>0.10129639577666343</v>
      </c>
      <c r="M177" s="39">
        <f t="shared" si="118"/>
        <v>5654677.5720237764</v>
      </c>
      <c r="N177" s="40">
        <f t="shared" si="119"/>
        <v>8.7247588876395346E-2</v>
      </c>
      <c r="O177" s="16">
        <f t="shared" si="120"/>
        <v>8.5406779494625829E-2</v>
      </c>
      <c r="P177" s="18"/>
      <c r="Q177" s="18">
        <f t="shared" si="121"/>
        <v>93837755.064328879</v>
      </c>
    </row>
    <row r="178" spans="1:37" ht="16" x14ac:dyDescent="0.2">
      <c r="A178" s="258"/>
      <c r="B178" s="14"/>
      <c r="C178" s="2"/>
      <c r="D178" s="2"/>
      <c r="E178" s="4"/>
      <c r="F178" s="18"/>
      <c r="G178" s="1"/>
      <c r="H178" s="1"/>
      <c r="I178" s="39"/>
      <c r="J178" s="39"/>
      <c r="K178" s="39"/>
      <c r="L178" s="39"/>
      <c r="M178" s="39"/>
      <c r="N178" s="39"/>
      <c r="O178" s="16"/>
      <c r="P178" s="16"/>
      <c r="Q178" s="16"/>
    </row>
    <row r="179" spans="1:37" x14ac:dyDescent="0.2">
      <c r="A179" s="258"/>
      <c r="B179" s="15" t="s">
        <v>14</v>
      </c>
      <c r="C179" s="30">
        <f>SUM(C166:C177)</f>
        <v>5333921980.353653</v>
      </c>
      <c r="D179" s="30">
        <f>SUM(D166:D177)</f>
        <v>2339698142.1244459</v>
      </c>
      <c r="E179" s="30">
        <f>SUM(E166:E177)</f>
        <v>1373927616.7022629</v>
      </c>
      <c r="F179" s="30">
        <f>SUM(F166:F177)</f>
        <v>1620296221.5269442</v>
      </c>
      <c r="G179" s="11">
        <f>1-H179</f>
        <v>0.74241700164291347</v>
      </c>
      <c r="H179" s="11">
        <f>MAX(0,E179/C179)</f>
        <v>0.25758299835708653</v>
      </c>
      <c r="I179" s="11"/>
      <c r="J179" s="11"/>
      <c r="K179" s="30">
        <f>SUM(K166:K177)</f>
        <v>32405924.106479634</v>
      </c>
      <c r="L179" s="11"/>
      <c r="M179" s="30">
        <f>SUM(M166:M177)</f>
        <v>64811849.185137048</v>
      </c>
      <c r="N179" s="11"/>
      <c r="O179" s="16"/>
      <c r="P179" s="16"/>
      <c r="Q179" s="30">
        <f>SUM(Q166:Q177)</f>
        <v>1717513994.8185608</v>
      </c>
    </row>
    <row r="180" spans="1:37" x14ac:dyDescent="0.2">
      <c r="G180" s="21">
        <f>SUM(G166:G177)</f>
        <v>8.8122067755113047</v>
      </c>
      <c r="H180" s="21">
        <f>SUM(H166:H177)</f>
        <v>3.1877932244886962</v>
      </c>
      <c r="I180" s="21"/>
      <c r="J180" s="21"/>
      <c r="K180" s="21"/>
      <c r="L180" s="21"/>
      <c r="M180" s="21"/>
      <c r="N180" s="21"/>
      <c r="O180" s="21"/>
      <c r="P180" s="21"/>
      <c r="Q180" s="21"/>
    </row>
    <row r="183" spans="1:37" ht="48" x14ac:dyDescent="0.2">
      <c r="A183" s="257">
        <v>7</v>
      </c>
      <c r="B183" t="s">
        <v>26</v>
      </c>
      <c r="C183" s="4">
        <f>'Opt 3 - Tier Allocation'!C158</f>
        <v>1717513994.8185606</v>
      </c>
      <c r="D183" s="4"/>
      <c r="F183" s="48" t="s">
        <v>68</v>
      </c>
      <c r="G183" s="47" t="s">
        <v>62</v>
      </c>
      <c r="H183" s="48" t="s">
        <v>55</v>
      </c>
      <c r="I183" s="48" t="s">
        <v>54</v>
      </c>
      <c r="J183" s="48" t="s">
        <v>56</v>
      </c>
    </row>
    <row r="184" spans="1:37" x14ac:dyDescent="0.2">
      <c r="A184" s="257"/>
      <c r="B184" t="s">
        <v>27</v>
      </c>
      <c r="C184" s="6">
        <f>C183*(1+C185)</f>
        <v>1820564834.5076742</v>
      </c>
      <c r="D184" s="6"/>
      <c r="F184" t="s">
        <v>53</v>
      </c>
      <c r="G184" s="7">
        <v>1</v>
      </c>
      <c r="H184" s="4">
        <f>SUMIF(I$192:I$203,G184,E$192:E$203)</f>
        <v>193702495.47767651</v>
      </c>
      <c r="I184" s="1">
        <f>H184/SUM(H$184:H$186)</f>
        <v>0.14174702774299969</v>
      </c>
      <c r="J184" s="6">
        <f>($C$187-$K$205)*I184</f>
        <v>9738100.203591967</v>
      </c>
      <c r="K184" s="1"/>
      <c r="M184" s="6"/>
      <c r="N184" s="6"/>
    </row>
    <row r="185" spans="1:37" x14ac:dyDescent="0.2">
      <c r="A185" s="257"/>
      <c r="B185" t="s">
        <v>28</v>
      </c>
      <c r="C185" s="19">
        <f>$C$3</f>
        <v>0.06</v>
      </c>
      <c r="D185" s="19"/>
      <c r="F185" s="38" t="s">
        <v>69</v>
      </c>
      <c r="G185" s="7">
        <v>2</v>
      </c>
      <c r="H185" s="4">
        <f>SUMIF(I$192:I$203,G185,E$192:E$203)</f>
        <v>1172834063.0798461</v>
      </c>
      <c r="I185" s="1">
        <f>H185/SUM(H$184:H$186)</f>
        <v>0.85825297225700026</v>
      </c>
      <c r="J185" s="6">
        <f>($C$187-$K$205)*I185</f>
        <v>58962459.932653233</v>
      </c>
      <c r="K185" s="1"/>
      <c r="M185" s="6"/>
      <c r="N185" s="6"/>
    </row>
    <row r="186" spans="1:37" x14ac:dyDescent="0.2">
      <c r="A186" s="257"/>
      <c r="B186" t="s">
        <v>16</v>
      </c>
      <c r="C186" s="20">
        <f>$C$4</f>
        <v>0.03</v>
      </c>
      <c r="D186" s="20"/>
      <c r="F186" t="s">
        <v>70</v>
      </c>
      <c r="G186" s="7">
        <v>3</v>
      </c>
      <c r="H186" s="4">
        <f>SUMIF(I$192:I$203,G186,E$192:E$203)</f>
        <v>0</v>
      </c>
      <c r="I186" s="1">
        <f>H186/SUM(H$184:H$186)</f>
        <v>0</v>
      </c>
      <c r="J186" s="6">
        <f>($C$187-$K$205)*I186</f>
        <v>0</v>
      </c>
      <c r="K186" s="1"/>
      <c r="M186" s="6"/>
      <c r="N186" s="6"/>
    </row>
    <row r="187" spans="1:37" x14ac:dyDescent="0.2">
      <c r="A187" s="257"/>
      <c r="B187" t="s">
        <v>31</v>
      </c>
      <c r="C187" s="6">
        <f>C184-C183</f>
        <v>103050839.68911362</v>
      </c>
      <c r="D187" s="6"/>
    </row>
    <row r="188" spans="1:37" x14ac:dyDescent="0.2">
      <c r="A188" s="257"/>
      <c r="B188" t="s">
        <v>59</v>
      </c>
      <c r="C188" s="16">
        <f>$C$7</f>
        <v>0.66666665999999997</v>
      </c>
      <c r="D188" s="16"/>
      <c r="S188" s="14"/>
      <c r="T188" s="2"/>
      <c r="U188" s="31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</row>
    <row r="189" spans="1:37" x14ac:dyDescent="0.2">
      <c r="A189" s="257"/>
      <c r="B189" t="s">
        <v>48</v>
      </c>
      <c r="C189" s="20">
        <f>((1+$C$4)^A183)-1</f>
        <v>0.22987386542486998</v>
      </c>
      <c r="D189" s="16"/>
    </row>
    <row r="190" spans="1:37" x14ac:dyDescent="0.2">
      <c r="A190" s="257"/>
    </row>
    <row r="191" spans="1:37" ht="49" thickBot="1" x14ac:dyDescent="0.25">
      <c r="A191" s="258" t="s">
        <v>51</v>
      </c>
      <c r="B191" s="22" t="s">
        <v>12</v>
      </c>
      <c r="C191" s="13" t="s">
        <v>15</v>
      </c>
      <c r="D191" s="13" t="s">
        <v>63</v>
      </c>
      <c r="E191" s="13" t="s">
        <v>13</v>
      </c>
      <c r="F191" s="13" t="s">
        <v>29</v>
      </c>
      <c r="G191" s="13" t="s">
        <v>50</v>
      </c>
      <c r="H191" s="13" t="s">
        <v>17</v>
      </c>
      <c r="I191" s="13" t="s">
        <v>52</v>
      </c>
      <c r="J191" s="13" t="s">
        <v>59</v>
      </c>
      <c r="K191" s="13" t="s">
        <v>60</v>
      </c>
      <c r="L191" s="13" t="s">
        <v>61</v>
      </c>
      <c r="M191" s="13" t="s">
        <v>58</v>
      </c>
      <c r="N191" s="13" t="s">
        <v>57</v>
      </c>
      <c r="O191" s="28" t="s">
        <v>25</v>
      </c>
      <c r="P191" s="28"/>
      <c r="Q191" s="28" t="s">
        <v>32</v>
      </c>
    </row>
    <row r="192" spans="1:37" ht="17" thickTop="1" x14ac:dyDescent="0.2">
      <c r="A192" s="258"/>
      <c r="B192" s="14" t="s">
        <v>0</v>
      </c>
      <c r="C192" s="2">
        <f t="shared" ref="C192:C203" si="122">VLOOKUP($B192,$B$9:$O$22,2,FALSE)*(1+$C$189)</f>
        <v>91085710.00062269</v>
      </c>
      <c r="D192" s="2">
        <f t="shared" ref="D192:D203" si="123">VLOOKUP($B192,$B$9:$O$22,3,FALSE)*(1+$C$189)</f>
        <v>17900707.640358005</v>
      </c>
      <c r="E192" s="4">
        <f t="shared" ref="E192:E203" si="124">C192-D192-F192</f>
        <v>7939143.8969991952</v>
      </c>
      <c r="F192" s="18">
        <f>'Opt 3 - Tier Allocation'!Q166</f>
        <v>65245858.463265494</v>
      </c>
      <c r="G192" s="1">
        <f t="shared" ref="G192:G203" si="125">1-H192</f>
        <v>0.91283875487225252</v>
      </c>
      <c r="H192" s="1">
        <f t="shared" ref="H192:H203" si="126">MAX(0,E192/C192)</f>
        <v>8.7161245127747491E-2</v>
      </c>
      <c r="I192" s="39">
        <f t="shared" ref="I192:I203" si="127">IF(H192&lt;0.15,1,IF(H192&gt;0.46,3,2))</f>
        <v>1</v>
      </c>
      <c r="J192" s="41">
        <f t="shared" ref="J192:J203" si="128">MIN($C$4,($C$3*0.5))*$C$7</f>
        <v>1.9999999799999998E-2</v>
      </c>
      <c r="K192" s="4">
        <f t="shared" ref="K192:K203" si="129">J192*F192</f>
        <v>1304917.156216138</v>
      </c>
      <c r="L192" s="40">
        <f t="shared" ref="L192:L203" si="130">H192/SUMIF($I$192:$I$203,I192,$H$192:$H$203)</f>
        <v>0.22766671839301039</v>
      </c>
      <c r="M192" s="39">
        <f t="shared" ref="M192:M203" si="131">L192*VLOOKUP(I192,$G$183:$J$186,4,FALSE)</f>
        <v>2217041.3167340895</v>
      </c>
      <c r="N192" s="40">
        <f t="shared" ref="N192:N203" si="132">M192/SUM($M$192:$M$203)</f>
        <v>3.2271080648211742E-2</v>
      </c>
      <c r="O192" s="16">
        <f t="shared" ref="O192:O203" si="133">(K192+M192)/F192</f>
        <v>5.3979801260997259E-2</v>
      </c>
      <c r="P192" s="18"/>
      <c r="Q192" s="18">
        <f t="shared" ref="Q192:Q203" si="134">M192+K192+F192</f>
        <v>68767816.936215729</v>
      </c>
    </row>
    <row r="193" spans="1:17" ht="16" x14ac:dyDescent="0.2">
      <c r="A193" s="258"/>
      <c r="B193" s="14" t="s">
        <v>1</v>
      </c>
      <c r="C193" s="2">
        <f t="shared" si="122"/>
        <v>202887890.99783346</v>
      </c>
      <c r="D193" s="2">
        <f t="shared" si="123"/>
        <v>67929941.693942994</v>
      </c>
      <c r="E193" s="4">
        <f t="shared" si="124"/>
        <v>50422897.500674218</v>
      </c>
      <c r="F193" s="18">
        <f>'Opt 3 - Tier Allocation'!Q167</f>
        <v>84535051.803216249</v>
      </c>
      <c r="G193" s="1">
        <f t="shared" si="125"/>
        <v>0.75147409117080988</v>
      </c>
      <c r="H193" s="1">
        <f t="shared" si="126"/>
        <v>0.2485259088291901</v>
      </c>
      <c r="I193" s="39">
        <f t="shared" si="127"/>
        <v>2</v>
      </c>
      <c r="J193" s="41">
        <f t="shared" si="128"/>
        <v>1.9999999799999998E-2</v>
      </c>
      <c r="K193" s="4">
        <f t="shared" si="129"/>
        <v>1690701.0191573144</v>
      </c>
      <c r="L193" s="40">
        <f t="shared" si="130"/>
        <v>9.5483770403544221E-2</v>
      </c>
      <c r="M193" s="39">
        <f t="shared" si="131"/>
        <v>5629957.986637637</v>
      </c>
      <c r="N193" s="40">
        <f t="shared" si="132"/>
        <v>8.1949229751146824E-2</v>
      </c>
      <c r="O193" s="16">
        <f t="shared" si="133"/>
        <v>8.6599095282229754E-2</v>
      </c>
      <c r="P193" s="18"/>
      <c r="Q193" s="18">
        <f t="shared" si="134"/>
        <v>91855710.809011206</v>
      </c>
    </row>
    <row r="194" spans="1:17" ht="16" x14ac:dyDescent="0.2">
      <c r="A194" s="258"/>
      <c r="B194" s="14" t="s">
        <v>2</v>
      </c>
      <c r="C194" s="2">
        <f t="shared" si="122"/>
        <v>137561930.33470672</v>
      </c>
      <c r="D194" s="2">
        <f t="shared" si="123"/>
        <v>34741706.594799697</v>
      </c>
      <c r="E194" s="4">
        <f t="shared" si="124"/>
        <v>34961739.744238451</v>
      </c>
      <c r="F194" s="18">
        <f>'Opt 3 - Tier Allocation'!Q168</f>
        <v>67858483.995668575</v>
      </c>
      <c r="G194" s="1">
        <f t="shared" si="125"/>
        <v>0.7458472728670511</v>
      </c>
      <c r="H194" s="1">
        <f t="shared" si="126"/>
        <v>0.25415272713294895</v>
      </c>
      <c r="I194" s="39">
        <f t="shared" si="127"/>
        <v>2</v>
      </c>
      <c r="J194" s="41">
        <f t="shared" si="128"/>
        <v>1.9999999799999998E-2</v>
      </c>
      <c r="K194" s="4">
        <f t="shared" si="129"/>
        <v>1357169.6663416745</v>
      </c>
      <c r="L194" s="40">
        <f t="shared" si="130"/>
        <v>9.7645596627416245E-2</v>
      </c>
      <c r="M194" s="39">
        <f t="shared" si="131"/>
        <v>5757424.5787440501</v>
      </c>
      <c r="N194" s="40">
        <f t="shared" si="132"/>
        <v>8.3804623533288117E-2</v>
      </c>
      <c r="O194" s="16">
        <f t="shared" si="133"/>
        <v>0.10484457986918556</v>
      </c>
      <c r="P194" s="18"/>
      <c r="Q194" s="18">
        <f t="shared" si="134"/>
        <v>74973078.240754306</v>
      </c>
    </row>
    <row r="195" spans="1:17" ht="16" x14ac:dyDescent="0.2">
      <c r="A195" s="258"/>
      <c r="B195" s="14" t="s">
        <v>3</v>
      </c>
      <c r="C195" s="2">
        <f t="shared" si="122"/>
        <v>587629954.87867534</v>
      </c>
      <c r="D195" s="2">
        <f t="shared" si="123"/>
        <v>210837915.96436894</v>
      </c>
      <c r="E195" s="4">
        <f t="shared" si="124"/>
        <v>246839603.09084845</v>
      </c>
      <c r="F195" s="18">
        <f>'Opt 3 - Tier Allocation'!Q169</f>
        <v>129952435.82345796</v>
      </c>
      <c r="G195" s="1">
        <f t="shared" si="125"/>
        <v>0.57994040119719215</v>
      </c>
      <c r="H195" s="1">
        <f t="shared" si="126"/>
        <v>0.42005959880280785</v>
      </c>
      <c r="I195" s="39">
        <f t="shared" si="127"/>
        <v>2</v>
      </c>
      <c r="J195" s="41">
        <f t="shared" si="128"/>
        <v>1.9999999799999998E-2</v>
      </c>
      <c r="K195" s="4">
        <f t="shared" si="129"/>
        <v>2599048.6904786718</v>
      </c>
      <c r="L195" s="40">
        <f t="shared" si="130"/>
        <v>0.16138709431481735</v>
      </c>
      <c r="M195" s="39">
        <f t="shared" si="131"/>
        <v>9515780.0821847469</v>
      </c>
      <c r="N195" s="40">
        <f t="shared" si="132"/>
        <v>0.13851095337961283</v>
      </c>
      <c r="O195" s="16">
        <f t="shared" si="133"/>
        <v>9.3225099598145025E-2</v>
      </c>
      <c r="P195" s="18"/>
      <c r="Q195" s="18">
        <f t="shared" si="134"/>
        <v>142067264.59612137</v>
      </c>
    </row>
    <row r="196" spans="1:17" ht="16" x14ac:dyDescent="0.2">
      <c r="A196" s="258"/>
      <c r="B196" s="14" t="s">
        <v>4</v>
      </c>
      <c r="C196" s="2">
        <f t="shared" si="122"/>
        <v>201979308.09909704</v>
      </c>
      <c r="D196" s="2">
        <f t="shared" si="123"/>
        <v>38106143.535029873</v>
      </c>
      <c r="E196" s="4">
        <f t="shared" si="124"/>
        <v>75703199.995521396</v>
      </c>
      <c r="F196" s="18">
        <f>'Opt 3 - Tier Allocation'!Q170</f>
        <v>88169964.568545789</v>
      </c>
      <c r="G196" s="1">
        <f t="shared" si="125"/>
        <v>0.62519328980778988</v>
      </c>
      <c r="H196" s="1">
        <f t="shared" si="126"/>
        <v>0.37480671019221018</v>
      </c>
      <c r="I196" s="39">
        <f t="shared" si="127"/>
        <v>2</v>
      </c>
      <c r="J196" s="41">
        <f t="shared" si="128"/>
        <v>1.9999999799999998E-2</v>
      </c>
      <c r="K196" s="4">
        <f t="shared" si="129"/>
        <v>1763399.2737369228</v>
      </c>
      <c r="L196" s="40">
        <f t="shared" si="130"/>
        <v>0.14400091334661416</v>
      </c>
      <c r="M196" s="39">
        <f t="shared" si="131"/>
        <v>8490648.0834652074</v>
      </c>
      <c r="N196" s="40">
        <f t="shared" si="132"/>
        <v>0.12358921188745434</v>
      </c>
      <c r="O196" s="16">
        <f t="shared" si="133"/>
        <v>0.11629864441229697</v>
      </c>
      <c r="P196" s="18"/>
      <c r="Q196" s="18">
        <f t="shared" si="134"/>
        <v>98424011.925747916</v>
      </c>
    </row>
    <row r="197" spans="1:17" ht="16" x14ac:dyDescent="0.2">
      <c r="A197" s="258"/>
      <c r="B197" s="14" t="s">
        <v>5</v>
      </c>
      <c r="C197" s="2">
        <f t="shared" si="122"/>
        <v>501742574.36267328</v>
      </c>
      <c r="D197" s="2">
        <f t="shared" si="123"/>
        <v>159218048.60111931</v>
      </c>
      <c r="E197" s="4">
        <f t="shared" si="124"/>
        <v>193222942.35692143</v>
      </c>
      <c r="F197" s="18">
        <f>'Opt 3 - Tier Allocation'!Q171</f>
        <v>149301583.40463257</v>
      </c>
      <c r="G197" s="1">
        <f t="shared" si="125"/>
        <v>0.61489625909788836</v>
      </c>
      <c r="H197" s="1">
        <f t="shared" si="126"/>
        <v>0.38510374090211169</v>
      </c>
      <c r="I197" s="39">
        <f t="shared" si="127"/>
        <v>2</v>
      </c>
      <c r="J197" s="41">
        <f t="shared" si="128"/>
        <v>1.9999999799999998E-2</v>
      </c>
      <c r="K197" s="4">
        <f t="shared" si="129"/>
        <v>2986031.6382323345</v>
      </c>
      <c r="L197" s="40">
        <f t="shared" si="130"/>
        <v>0.14795703736110563</v>
      </c>
      <c r="M197" s="39">
        <f t="shared" si="131"/>
        <v>8723910.8871582691</v>
      </c>
      <c r="N197" s="40">
        <f t="shared" si="132"/>
        <v>0.12698456708150896</v>
      </c>
      <c r="O197" s="16">
        <f t="shared" si="133"/>
        <v>7.8431469100060894E-2</v>
      </c>
      <c r="P197" s="18"/>
      <c r="Q197" s="18">
        <f t="shared" si="134"/>
        <v>161011525.93002316</v>
      </c>
    </row>
    <row r="198" spans="1:17" ht="16" x14ac:dyDescent="0.2">
      <c r="A198" s="258"/>
      <c r="B198" s="14" t="s">
        <v>6</v>
      </c>
      <c r="C198" s="2">
        <f t="shared" si="122"/>
        <v>363249813.28416049</v>
      </c>
      <c r="D198" s="2">
        <f t="shared" si="123"/>
        <v>158581652.63293183</v>
      </c>
      <c r="E198" s="4">
        <f t="shared" si="124"/>
        <v>29528598.332170635</v>
      </c>
      <c r="F198" s="18">
        <f>'Opt 3 - Tier Allocation'!Q172</f>
        <v>175139562.31905803</v>
      </c>
      <c r="G198" s="1">
        <f t="shared" si="125"/>
        <v>0.91870994216018709</v>
      </c>
      <c r="H198" s="1">
        <f t="shared" si="126"/>
        <v>8.1290057839812885E-2</v>
      </c>
      <c r="I198" s="39">
        <f t="shared" si="127"/>
        <v>1</v>
      </c>
      <c r="J198" s="41">
        <f t="shared" si="128"/>
        <v>1.9999999799999998E-2</v>
      </c>
      <c r="K198" s="4">
        <f t="shared" si="129"/>
        <v>3502791.211353248</v>
      </c>
      <c r="L198" s="40">
        <f t="shared" si="130"/>
        <v>0.2123310730502237</v>
      </c>
      <c r="M198" s="39">
        <f t="shared" si="131"/>
        <v>2067701.2656992842</v>
      </c>
      <c r="N198" s="40">
        <f t="shared" si="132"/>
        <v>3.0097298502350951E-2</v>
      </c>
      <c r="O198" s="16">
        <f t="shared" si="133"/>
        <v>3.1806020314842205E-2</v>
      </c>
      <c r="P198" s="18"/>
      <c r="Q198" s="18">
        <f t="shared" si="134"/>
        <v>180710054.79611057</v>
      </c>
    </row>
    <row r="199" spans="1:17" ht="16" x14ac:dyDescent="0.2">
      <c r="A199" s="258"/>
      <c r="B199" s="14" t="s">
        <v>7</v>
      </c>
      <c r="C199" s="2">
        <f t="shared" si="122"/>
        <v>404446829.98047841</v>
      </c>
      <c r="D199" s="2">
        <f t="shared" si="123"/>
        <v>162377437.87650329</v>
      </c>
      <c r="E199" s="4">
        <f t="shared" si="124"/>
        <v>129961708.73492673</v>
      </c>
      <c r="F199" s="18">
        <f>'Opt 3 - Tier Allocation'!Q173</f>
        <v>112107683.36904839</v>
      </c>
      <c r="G199" s="1">
        <f t="shared" si="125"/>
        <v>0.67866800008990147</v>
      </c>
      <c r="H199" s="1">
        <f t="shared" si="126"/>
        <v>0.32133199991009853</v>
      </c>
      <c r="I199" s="39">
        <f t="shared" si="127"/>
        <v>2</v>
      </c>
      <c r="J199" s="41">
        <f t="shared" si="128"/>
        <v>1.9999999799999998E-2</v>
      </c>
      <c r="K199" s="4">
        <f t="shared" si="129"/>
        <v>2242153.6449594307</v>
      </c>
      <c r="L199" s="40">
        <f t="shared" si="130"/>
        <v>0.12345590464700817</v>
      </c>
      <c r="M199" s="39">
        <f t="shared" si="131"/>
        <v>7279263.8311986774</v>
      </c>
      <c r="N199" s="40">
        <f t="shared" si="132"/>
        <v>0.10595639710597157</v>
      </c>
      <c r="O199" s="16">
        <f t="shared" si="133"/>
        <v>8.4930998393878687E-2</v>
      </c>
      <c r="P199" s="18"/>
      <c r="Q199" s="18">
        <f t="shared" si="134"/>
        <v>121629100.8452065</v>
      </c>
    </row>
    <row r="200" spans="1:17" ht="16" x14ac:dyDescent="0.2">
      <c r="A200" s="258"/>
      <c r="B200" s="14" t="s">
        <v>8</v>
      </c>
      <c r="C200" s="2">
        <f t="shared" si="122"/>
        <v>1119784582.8344698</v>
      </c>
      <c r="D200" s="2">
        <f t="shared" si="123"/>
        <v>413141721.14100462</v>
      </c>
      <c r="E200" s="4">
        <f t="shared" si="124"/>
        <v>379189651.56720942</v>
      </c>
      <c r="F200" s="18">
        <f>'Opt 3 - Tier Allocation'!Q174</f>
        <v>327453210.12625581</v>
      </c>
      <c r="G200" s="1">
        <f t="shared" si="125"/>
        <v>0.66137268062096322</v>
      </c>
      <c r="H200" s="1">
        <f t="shared" si="126"/>
        <v>0.33862731937903673</v>
      </c>
      <c r="I200" s="39">
        <f t="shared" si="127"/>
        <v>2</v>
      </c>
      <c r="J200" s="41">
        <f t="shared" si="128"/>
        <v>1.9999999799999998E-2</v>
      </c>
      <c r="K200" s="4">
        <f t="shared" si="129"/>
        <v>6549064.137034473</v>
      </c>
      <c r="L200" s="40">
        <f t="shared" si="130"/>
        <v>0.13010077447570298</v>
      </c>
      <c r="M200" s="39">
        <f t="shared" si="131"/>
        <v>7671061.7022307916</v>
      </c>
      <c r="N200" s="40">
        <f t="shared" si="132"/>
        <v>0.11165937638670975</v>
      </c>
      <c r="O200" s="16">
        <f t="shared" si="133"/>
        <v>4.3426435898375908E-2</v>
      </c>
      <c r="P200" s="18"/>
      <c r="Q200" s="18">
        <f t="shared" si="134"/>
        <v>341673335.9655211</v>
      </c>
    </row>
    <row r="201" spans="1:17" ht="16" x14ac:dyDescent="0.2">
      <c r="A201" s="258"/>
      <c r="B201" s="14" t="s">
        <v>9</v>
      </c>
      <c r="C201" s="2">
        <f t="shared" si="122"/>
        <v>114015969.06023537</v>
      </c>
      <c r="D201" s="2">
        <f t="shared" si="123"/>
        <v>49155656.718915969</v>
      </c>
      <c r="E201" s="4">
        <f t="shared" si="124"/>
        <v>13826781.716737956</v>
      </c>
      <c r="F201" s="18">
        <f>'Opt 3 - Tier Allocation'!Q175</f>
        <v>51033530.624581441</v>
      </c>
      <c r="G201" s="1">
        <f t="shared" si="125"/>
        <v>0.87872942859931158</v>
      </c>
      <c r="H201" s="1">
        <f t="shared" si="126"/>
        <v>0.12127057140068843</v>
      </c>
      <c r="I201" s="39">
        <f t="shared" si="127"/>
        <v>1</v>
      </c>
      <c r="J201" s="41">
        <f t="shared" si="128"/>
        <v>1.9999999799999998E-2</v>
      </c>
      <c r="K201" s="4">
        <f t="shared" si="129"/>
        <v>1020670.6022849226</v>
      </c>
      <c r="L201" s="40">
        <f t="shared" si="130"/>
        <v>0.31676088366996807</v>
      </c>
      <c r="M201" s="39">
        <f t="shared" si="131"/>
        <v>3084649.2257564873</v>
      </c>
      <c r="N201" s="40">
        <f t="shared" si="132"/>
        <v>4.489991376546406E-2</v>
      </c>
      <c r="O201" s="16">
        <f t="shared" si="133"/>
        <v>8.0443578521764883E-2</v>
      </c>
      <c r="P201" s="18"/>
      <c r="Q201" s="18">
        <f t="shared" si="134"/>
        <v>55138850.452622853</v>
      </c>
    </row>
    <row r="202" spans="1:17" ht="16" x14ac:dyDescent="0.2">
      <c r="A202" s="258"/>
      <c r="B202" s="14" t="s">
        <v>10</v>
      </c>
      <c r="C202" s="2">
        <f t="shared" si="122"/>
        <v>1529230890.0782349</v>
      </c>
      <c r="D202" s="2">
        <f t="shared" si="123"/>
        <v>1013944043.2899646</v>
      </c>
      <c r="E202" s="4">
        <f t="shared" si="124"/>
        <v>142407971.53176874</v>
      </c>
      <c r="F202" s="18">
        <f>'Opt 3 - Tier Allocation'!Q176</f>
        <v>372878875.25650162</v>
      </c>
      <c r="G202" s="1">
        <f t="shared" si="125"/>
        <v>0.90687608231319261</v>
      </c>
      <c r="H202" s="1">
        <f t="shared" si="126"/>
        <v>9.3123917686807389E-2</v>
      </c>
      <c r="I202" s="39">
        <f t="shared" si="127"/>
        <v>1</v>
      </c>
      <c r="J202" s="41">
        <f t="shared" si="128"/>
        <v>1.9999999799999998E-2</v>
      </c>
      <c r="K202" s="4">
        <f t="shared" si="129"/>
        <v>7457577.4305542568</v>
      </c>
      <c r="L202" s="40">
        <f t="shared" si="130"/>
        <v>0.24324132488679789</v>
      </c>
      <c r="M202" s="39">
        <f t="shared" si="131"/>
        <v>2368708.3954021065</v>
      </c>
      <c r="N202" s="40">
        <f t="shared" si="132"/>
        <v>3.4478734826972939E-2</v>
      </c>
      <c r="O202" s="16">
        <f t="shared" si="133"/>
        <v>2.6352487303543028E-2</v>
      </c>
      <c r="P202" s="18"/>
      <c r="Q202" s="18">
        <f t="shared" si="134"/>
        <v>382705161.08245796</v>
      </c>
    </row>
    <row r="203" spans="1:17" ht="16" x14ac:dyDescent="0.2">
      <c r="A203" s="258"/>
      <c r="B203" s="14" t="s">
        <v>11</v>
      </c>
      <c r="C203" s="2">
        <f t="shared" si="122"/>
        <v>240324185.85307562</v>
      </c>
      <c r="D203" s="2">
        <f t="shared" si="123"/>
        <v>83954110.699240685</v>
      </c>
      <c r="E203" s="4">
        <f t="shared" si="124"/>
        <v>62532320.08950606</v>
      </c>
      <c r="F203" s="18">
        <f>'Opt 3 - Tier Allocation'!Q177</f>
        <v>93837755.064328879</v>
      </c>
      <c r="G203" s="1">
        <f t="shared" si="125"/>
        <v>0.73980013760356289</v>
      </c>
      <c r="H203" s="1">
        <f t="shared" si="126"/>
        <v>0.26019986239643711</v>
      </c>
      <c r="I203" s="39">
        <f t="shared" si="127"/>
        <v>2</v>
      </c>
      <c r="J203" s="41">
        <f t="shared" si="128"/>
        <v>1.9999999799999998E-2</v>
      </c>
      <c r="K203" s="4">
        <f t="shared" si="129"/>
        <v>1876755.0825190265</v>
      </c>
      <c r="L203" s="40">
        <f t="shared" si="130"/>
        <v>9.9968908823791405E-2</v>
      </c>
      <c r="M203" s="39">
        <f t="shared" si="131"/>
        <v>5894412.7810338652</v>
      </c>
      <c r="N203" s="40">
        <f t="shared" si="132"/>
        <v>8.579861313130803E-2</v>
      </c>
      <c r="O203" s="16">
        <f t="shared" si="133"/>
        <v>8.2814937955682122E-2</v>
      </c>
      <c r="P203" s="18"/>
      <c r="Q203" s="18">
        <f t="shared" si="134"/>
        <v>101608922.92788178</v>
      </c>
    </row>
    <row r="204" spans="1:17" ht="16" x14ac:dyDescent="0.2">
      <c r="A204" s="258"/>
      <c r="B204" s="14"/>
      <c r="C204" s="2"/>
      <c r="D204" s="2"/>
      <c r="E204" s="4"/>
      <c r="F204" s="18"/>
      <c r="G204" s="1"/>
      <c r="H204" s="1"/>
      <c r="I204" s="39"/>
      <c r="J204" s="39"/>
      <c r="K204" s="39"/>
      <c r="L204" s="39"/>
      <c r="M204" s="39"/>
      <c r="N204" s="39"/>
      <c r="O204" s="16"/>
      <c r="P204" s="16"/>
      <c r="Q204" s="16"/>
    </row>
    <row r="205" spans="1:17" x14ac:dyDescent="0.2">
      <c r="A205" s="258"/>
      <c r="B205" s="15" t="s">
        <v>14</v>
      </c>
      <c r="C205" s="30">
        <f>SUM(C192:C203)</f>
        <v>5493939639.7642632</v>
      </c>
      <c r="D205" s="30">
        <f>SUM(D192:D203)</f>
        <v>2409889086.3881798</v>
      </c>
      <c r="E205" s="30">
        <f>SUM(E192:E203)</f>
        <v>1366536558.5575228</v>
      </c>
      <c r="F205" s="30">
        <f>SUM(F192:F203)</f>
        <v>1717513994.8185608</v>
      </c>
      <c r="G205" s="11">
        <f>1-H205</f>
        <v>0.75126473020075646</v>
      </c>
      <c r="H205" s="11">
        <f>MAX(0,E205/C205)</f>
        <v>0.24873526979924351</v>
      </c>
      <c r="I205" s="11"/>
      <c r="J205" s="11"/>
      <c r="K205" s="30">
        <f>SUM(K192:K203)</f>
        <v>34350279.552868411</v>
      </c>
      <c r="L205" s="11"/>
      <c r="M205" s="30">
        <f>SUM(M192:M203)</f>
        <v>68700560.136245206</v>
      </c>
      <c r="N205" s="11"/>
      <c r="O205" s="16"/>
      <c r="P205" s="16"/>
      <c r="Q205" s="30">
        <f>SUM(Q192:Q203)</f>
        <v>1820564834.5076745</v>
      </c>
    </row>
    <row r="206" spans="1:17" x14ac:dyDescent="0.2">
      <c r="G206" s="21">
        <f>SUM(G192:G203)</f>
        <v>9.0143463404001025</v>
      </c>
      <c r="H206" s="21">
        <f>SUM(H192:H203)</f>
        <v>2.985653659599897</v>
      </c>
      <c r="I206" s="21"/>
      <c r="J206" s="21"/>
      <c r="K206" s="21"/>
      <c r="L206" s="21"/>
      <c r="M206" s="21"/>
      <c r="N206" s="21"/>
      <c r="O206" s="21"/>
      <c r="P206" s="21"/>
      <c r="Q206" s="21"/>
    </row>
    <row r="209" spans="1:37" ht="48" x14ac:dyDescent="0.2">
      <c r="A209" s="257">
        <v>8</v>
      </c>
      <c r="B209" t="s">
        <v>26</v>
      </c>
      <c r="C209" s="4">
        <f>'Opt 3 - Tier Allocation'!C184</f>
        <v>1820564834.5076742</v>
      </c>
      <c r="D209" s="4"/>
      <c r="F209" s="48" t="s">
        <v>68</v>
      </c>
      <c r="G209" s="47" t="s">
        <v>62</v>
      </c>
      <c r="H209" s="48" t="s">
        <v>55</v>
      </c>
      <c r="I209" s="48" t="s">
        <v>54</v>
      </c>
      <c r="J209" s="48" t="s">
        <v>56</v>
      </c>
    </row>
    <row r="210" spans="1:37" x14ac:dyDescent="0.2">
      <c r="A210" s="257"/>
      <c r="B210" t="s">
        <v>27</v>
      </c>
      <c r="C210" s="6">
        <f>C209*(1+C211)</f>
        <v>1929798724.5781348</v>
      </c>
      <c r="D210" s="6"/>
      <c r="F210" t="s">
        <v>53</v>
      </c>
      <c r="G210" s="7">
        <v>1</v>
      </c>
      <c r="H210" s="4">
        <f>SUMIF(I$218:I$229,G210,E$218:E$229)</f>
        <v>196418448.53790861</v>
      </c>
      <c r="I210" s="1">
        <f>H210/SUM(H$210:H$212)</f>
        <v>0.14485059032142519</v>
      </c>
      <c r="J210" s="6">
        <f>($C$213-$K$231)*I210</f>
        <v>10548395.692616571</v>
      </c>
      <c r="K210" s="1"/>
      <c r="M210" s="6"/>
      <c r="N210" s="6"/>
    </row>
    <row r="211" spans="1:37" x14ac:dyDescent="0.2">
      <c r="A211" s="257"/>
      <c r="B211" t="s">
        <v>28</v>
      </c>
      <c r="C211" s="19">
        <f>$C$3</f>
        <v>0.06</v>
      </c>
      <c r="D211" s="19"/>
      <c r="F211" s="38" t="s">
        <v>69</v>
      </c>
      <c r="G211" s="7">
        <v>2</v>
      </c>
      <c r="H211" s="4">
        <f>SUMIF(I$218:I$229,G211,E$218:E$229)</f>
        <v>1159588786.9317827</v>
      </c>
      <c r="I211" s="1">
        <f>H211/SUM(H$210:H$212)</f>
        <v>0.85514940967857489</v>
      </c>
      <c r="J211" s="6">
        <f>($C$213-$K$231)*I211</f>
        <v>62274198.051803485</v>
      </c>
      <c r="K211" s="1"/>
      <c r="M211" s="6"/>
      <c r="N211" s="6"/>
    </row>
    <row r="212" spans="1:37" x14ac:dyDescent="0.2">
      <c r="A212" s="257"/>
      <c r="B212" t="s">
        <v>16</v>
      </c>
      <c r="C212" s="20">
        <f>$C$4</f>
        <v>0.03</v>
      </c>
      <c r="D212" s="20"/>
      <c r="F212" t="s">
        <v>70</v>
      </c>
      <c r="G212" s="7">
        <v>3</v>
      </c>
      <c r="H212" s="4">
        <f>SUMIF(I$218:I$229,G212,E$218:E$229)</f>
        <v>0</v>
      </c>
      <c r="I212" s="1">
        <f>H212/SUM(H$210:H$212)</f>
        <v>0</v>
      </c>
      <c r="J212" s="6">
        <f>($C$213-$K$231)*I212</f>
        <v>0</v>
      </c>
      <c r="K212" s="1"/>
      <c r="M212" s="6"/>
      <c r="N212" s="6"/>
    </row>
    <row r="213" spans="1:37" x14ac:dyDescent="0.2">
      <c r="A213" s="257"/>
      <c r="B213" t="s">
        <v>31</v>
      </c>
      <c r="C213" s="6">
        <f>C210-C209</f>
        <v>109233890.07046056</v>
      </c>
      <c r="D213" s="6"/>
    </row>
    <row r="214" spans="1:37" x14ac:dyDescent="0.2">
      <c r="A214" s="257"/>
      <c r="B214" t="s">
        <v>59</v>
      </c>
      <c r="C214" s="16">
        <f>$C$7</f>
        <v>0.66666665999999997</v>
      </c>
      <c r="D214" s="16"/>
      <c r="S214" s="14"/>
      <c r="T214" s="2"/>
      <c r="U214" s="31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</row>
    <row r="215" spans="1:37" x14ac:dyDescent="0.2">
      <c r="A215" s="257"/>
      <c r="B215" t="s">
        <v>48</v>
      </c>
      <c r="C215" s="20">
        <f>((1+$C$4)^A209)-1</f>
        <v>0.26677008138761593</v>
      </c>
      <c r="D215" s="16"/>
    </row>
    <row r="216" spans="1:37" x14ac:dyDescent="0.2">
      <c r="A216" s="257"/>
    </row>
    <row r="217" spans="1:37" ht="49" thickBot="1" x14ac:dyDescent="0.25">
      <c r="A217" s="258" t="s">
        <v>51</v>
      </c>
      <c r="B217" s="22" t="s">
        <v>12</v>
      </c>
      <c r="C217" s="13" t="s">
        <v>15</v>
      </c>
      <c r="D217" s="13" t="s">
        <v>63</v>
      </c>
      <c r="E217" s="13" t="s">
        <v>13</v>
      </c>
      <c r="F217" s="13" t="s">
        <v>29</v>
      </c>
      <c r="G217" s="13" t="s">
        <v>50</v>
      </c>
      <c r="H217" s="13" t="s">
        <v>17</v>
      </c>
      <c r="I217" s="13" t="s">
        <v>52</v>
      </c>
      <c r="J217" s="13" t="s">
        <v>59</v>
      </c>
      <c r="K217" s="13" t="s">
        <v>60</v>
      </c>
      <c r="L217" s="13" t="s">
        <v>61</v>
      </c>
      <c r="M217" s="13" t="s">
        <v>58</v>
      </c>
      <c r="N217" s="13" t="s">
        <v>57</v>
      </c>
      <c r="O217" s="28" t="s">
        <v>25</v>
      </c>
      <c r="P217" s="28"/>
      <c r="Q217" s="28" t="s">
        <v>32</v>
      </c>
    </row>
    <row r="218" spans="1:37" ht="17" thickTop="1" x14ac:dyDescent="0.2">
      <c r="A218" s="258"/>
      <c r="B218" s="14" t="s">
        <v>0</v>
      </c>
      <c r="C218" s="2">
        <f t="shared" ref="C218:C229" si="135">VLOOKUP($B218,$B$9:$O$22,2,FALSE)*(1+$C$215)</f>
        <v>93818281.300641358</v>
      </c>
      <c r="D218" s="2">
        <f t="shared" ref="D218:D229" si="136">VLOOKUP($B218,$B$9:$O$22,3,FALSE)*(1+$C$215)</f>
        <v>18437728.869568743</v>
      </c>
      <c r="E218" s="4">
        <f t="shared" ref="E218:E229" si="137">C218-D218-F218</f>
        <v>6612735.494856894</v>
      </c>
      <c r="F218" s="18">
        <f>'Opt 3 - Tier Allocation'!Q192</f>
        <v>68767816.936215729</v>
      </c>
      <c r="G218" s="1">
        <f t="shared" ref="G218:G229" si="138">1-H218</f>
        <v>0.92951549097700548</v>
      </c>
      <c r="H218" s="1">
        <f t="shared" ref="H218:H229" si="139">MAX(0,E218/C218)</f>
        <v>7.0484509022994524E-2</v>
      </c>
      <c r="I218" s="39">
        <f t="shared" ref="I218:I229" si="140">IF(H218&lt;0.15,1,IF(H218&gt;0.46,3,2))</f>
        <v>1</v>
      </c>
      <c r="J218" s="41">
        <f t="shared" ref="J218:J229" si="141">MIN($C$4,($C$3*0.5))*$C$7</f>
        <v>1.9999999799999998E-2</v>
      </c>
      <c r="K218" s="4">
        <f t="shared" ref="K218:K229" si="142">J218*F218</f>
        <v>1375356.3249707511</v>
      </c>
      <c r="L218" s="40">
        <f t="shared" ref="L218:L229" si="143">H218/SUMIF($I$218:$I$229,I218,$H$218:$H$229)</f>
        <v>0.20473837938704026</v>
      </c>
      <c r="M218" s="39">
        <f t="shared" ref="M218:M229" si="144">L218*VLOOKUP(I218,$G$209:$J$212,4,FALSE)</f>
        <v>2159661.4392395527</v>
      </c>
      <c r="N218" s="40">
        <f t="shared" ref="N218:N229" si="145">M218/SUM($M$218:$M$229)</f>
        <v>2.9656475115664688E-2</v>
      </c>
      <c r="O218" s="16">
        <f t="shared" ref="O218:O229" si="146">(K218+M218)/F218</f>
        <v>5.1405118290858962E-2</v>
      </c>
      <c r="P218" s="18"/>
      <c r="Q218" s="18">
        <f t="shared" ref="Q218:Q229" si="147">M218+K218+F218</f>
        <v>72302834.700426027</v>
      </c>
    </row>
    <row r="219" spans="1:37" ht="16" x14ac:dyDescent="0.2">
      <c r="A219" s="258"/>
      <c r="B219" s="14" t="s">
        <v>1</v>
      </c>
      <c r="C219" s="2">
        <f t="shared" si="135"/>
        <v>208974527.72776845</v>
      </c>
      <c r="D219" s="2">
        <f t="shared" si="136"/>
        <v>69967839.944761276</v>
      </c>
      <c r="E219" s="4">
        <f t="shared" si="137"/>
        <v>47150976.973995969</v>
      </c>
      <c r="F219" s="18">
        <f>'Opt 3 - Tier Allocation'!Q193</f>
        <v>91855710.809011206</v>
      </c>
      <c r="G219" s="1">
        <f t="shared" si="138"/>
        <v>0.77436974024212346</v>
      </c>
      <c r="H219" s="1">
        <f t="shared" si="139"/>
        <v>0.22563025975787654</v>
      </c>
      <c r="I219" s="39">
        <f t="shared" si="140"/>
        <v>2</v>
      </c>
      <c r="J219" s="41">
        <f t="shared" si="141"/>
        <v>1.9999999799999998E-2</v>
      </c>
      <c r="K219" s="4">
        <f t="shared" si="142"/>
        <v>1837114.1978090818</v>
      </c>
      <c r="L219" s="40">
        <f t="shared" si="143"/>
        <v>9.2421809967414906E-2</v>
      </c>
      <c r="M219" s="39">
        <f t="shared" si="144"/>
        <v>5755494.0982169416</v>
      </c>
      <c r="N219" s="40">
        <f t="shared" si="145"/>
        <v>7.9034456235060266E-2</v>
      </c>
      <c r="O219" s="16">
        <f t="shared" si="146"/>
        <v>8.2657988590527295E-2</v>
      </c>
      <c r="P219" s="18"/>
      <c r="Q219" s="18">
        <f t="shared" si="147"/>
        <v>99448319.105037227</v>
      </c>
    </row>
    <row r="220" spans="1:37" ht="16" x14ac:dyDescent="0.2">
      <c r="A220" s="258"/>
      <c r="B220" s="14" t="s">
        <v>2</v>
      </c>
      <c r="C220" s="2">
        <f t="shared" si="135"/>
        <v>141688788.24474791</v>
      </c>
      <c r="D220" s="2">
        <f t="shared" si="136"/>
        <v>35783957.792643681</v>
      </c>
      <c r="E220" s="4">
        <f t="shared" si="137"/>
        <v>30931752.211349919</v>
      </c>
      <c r="F220" s="18">
        <f>'Opt 3 - Tier Allocation'!Q194</f>
        <v>74973078.240754306</v>
      </c>
      <c r="G220" s="1">
        <f t="shared" si="138"/>
        <v>0.78169230893612007</v>
      </c>
      <c r="H220" s="1">
        <f t="shared" si="139"/>
        <v>0.21830769106387987</v>
      </c>
      <c r="I220" s="39">
        <f t="shared" si="140"/>
        <v>2</v>
      </c>
      <c r="J220" s="41">
        <f t="shared" si="141"/>
        <v>1.9999999799999998E-2</v>
      </c>
      <c r="K220" s="4">
        <f t="shared" si="142"/>
        <v>1499461.5498204704</v>
      </c>
      <c r="L220" s="40">
        <f t="shared" si="143"/>
        <v>8.9422367193045291E-2</v>
      </c>
      <c r="M220" s="39">
        <f t="shared" si="144"/>
        <v>5568706.204840797</v>
      </c>
      <c r="N220" s="40">
        <f t="shared" si="145"/>
        <v>7.6469484517193431E-2</v>
      </c>
      <c r="O220" s="16">
        <f t="shared" si="146"/>
        <v>9.427607776706054E-2</v>
      </c>
      <c r="P220" s="18"/>
      <c r="Q220" s="18">
        <f t="shared" si="147"/>
        <v>82041245.995415568</v>
      </c>
    </row>
    <row r="221" spans="1:37" ht="16" x14ac:dyDescent="0.2">
      <c r="A221" s="258"/>
      <c r="B221" s="14" t="s">
        <v>3</v>
      </c>
      <c r="C221" s="2">
        <f t="shared" si="135"/>
        <v>605258853.5250355</v>
      </c>
      <c r="D221" s="2">
        <f t="shared" si="136"/>
        <v>217163053.44329998</v>
      </c>
      <c r="E221" s="4">
        <f t="shared" si="137"/>
        <v>246028535.48561412</v>
      </c>
      <c r="F221" s="18">
        <f>'Opt 3 - Tier Allocation'!Q195</f>
        <v>142067264.59612137</v>
      </c>
      <c r="G221" s="1">
        <f t="shared" si="138"/>
        <v>0.59351518106221701</v>
      </c>
      <c r="H221" s="1">
        <f t="shared" si="139"/>
        <v>0.40648481893778293</v>
      </c>
      <c r="I221" s="39">
        <f t="shared" si="140"/>
        <v>2</v>
      </c>
      <c r="J221" s="41">
        <f t="shared" si="141"/>
        <v>1.9999999799999998E-2</v>
      </c>
      <c r="K221" s="4">
        <f t="shared" si="142"/>
        <v>2841345.2635089741</v>
      </c>
      <c r="L221" s="40">
        <f t="shared" si="143"/>
        <v>0.16650276754022736</v>
      </c>
      <c r="M221" s="39">
        <f t="shared" si="144"/>
        <v>10368826.321973516</v>
      </c>
      <c r="N221" s="40">
        <f t="shared" si="145"/>
        <v>0.14238474337187437</v>
      </c>
      <c r="O221" s="16">
        <f t="shared" si="146"/>
        <v>9.2985330737783103E-2</v>
      </c>
      <c r="P221" s="18"/>
      <c r="Q221" s="18">
        <f t="shared" si="147"/>
        <v>155277436.18160385</v>
      </c>
    </row>
    <row r="222" spans="1:37" ht="16" x14ac:dyDescent="0.2">
      <c r="A222" s="258"/>
      <c r="B222" s="14" t="s">
        <v>4</v>
      </c>
      <c r="C222" s="2">
        <f t="shared" si="135"/>
        <v>208038687.34206992</v>
      </c>
      <c r="D222" s="2">
        <f t="shared" si="136"/>
        <v>39249327.841080762</v>
      </c>
      <c r="E222" s="4">
        <f t="shared" si="137"/>
        <v>70365347.575241253</v>
      </c>
      <c r="F222" s="18">
        <f>'Opt 3 - Tier Allocation'!Q196</f>
        <v>98424011.925747916</v>
      </c>
      <c r="G222" s="1">
        <f t="shared" si="138"/>
        <v>0.6617679698221598</v>
      </c>
      <c r="H222" s="1">
        <f t="shared" si="139"/>
        <v>0.3382320301778402</v>
      </c>
      <c r="I222" s="39">
        <f t="shared" si="140"/>
        <v>2</v>
      </c>
      <c r="J222" s="41">
        <f t="shared" si="141"/>
        <v>1.9999999799999998E-2</v>
      </c>
      <c r="K222" s="4">
        <f t="shared" si="142"/>
        <v>1968480.2188301557</v>
      </c>
      <c r="L222" s="40">
        <f t="shared" si="143"/>
        <v>0.13854531945996235</v>
      </c>
      <c r="M222" s="39">
        <f t="shared" si="144"/>
        <v>8627798.6632000785</v>
      </c>
      <c r="N222" s="40">
        <f t="shared" si="145"/>
        <v>0.11847694814991634</v>
      </c>
      <c r="O222" s="16">
        <f t="shared" si="146"/>
        <v>0.10765948953619342</v>
      </c>
      <c r="P222" s="18"/>
      <c r="Q222" s="18">
        <f t="shared" si="147"/>
        <v>109020290.80777815</v>
      </c>
    </row>
    <row r="223" spans="1:37" ht="16" x14ac:dyDescent="0.2">
      <c r="A223" s="258"/>
      <c r="B223" s="14" t="s">
        <v>5</v>
      </c>
      <c r="C223" s="2">
        <f t="shared" si="135"/>
        <v>516794851.59355342</v>
      </c>
      <c r="D223" s="2">
        <f t="shared" si="136"/>
        <v>163994590.05915287</v>
      </c>
      <c r="E223" s="4">
        <f t="shared" si="137"/>
        <v>191788735.60437742</v>
      </c>
      <c r="F223" s="18">
        <f>'Opt 3 - Tier Allocation'!Q197</f>
        <v>161011525.93002316</v>
      </c>
      <c r="G223" s="1">
        <f t="shared" si="138"/>
        <v>0.6288880684221394</v>
      </c>
      <c r="H223" s="1">
        <f t="shared" si="139"/>
        <v>0.3711119315778606</v>
      </c>
      <c r="I223" s="39">
        <f t="shared" si="140"/>
        <v>2</v>
      </c>
      <c r="J223" s="41">
        <f t="shared" si="141"/>
        <v>1.9999999799999998E-2</v>
      </c>
      <c r="K223" s="4">
        <f t="shared" si="142"/>
        <v>3220230.4863981577</v>
      </c>
      <c r="L223" s="40">
        <f t="shared" si="143"/>
        <v>0.15201345978032973</v>
      </c>
      <c r="M223" s="39">
        <f t="shared" si="144"/>
        <v>9466516.3009001166</v>
      </c>
      <c r="N223" s="40">
        <f t="shared" si="145"/>
        <v>0.12999422039434672</v>
      </c>
      <c r="O223" s="16">
        <f t="shared" si="146"/>
        <v>7.8794028651166442E-2</v>
      </c>
      <c r="P223" s="18"/>
      <c r="Q223" s="18">
        <f t="shared" si="147"/>
        <v>173698272.71732143</v>
      </c>
    </row>
    <row r="224" spans="1:37" ht="16" x14ac:dyDescent="0.2">
      <c r="A224" s="258"/>
      <c r="B224" s="14" t="s">
        <v>6</v>
      </c>
      <c r="C224" s="2">
        <f t="shared" si="135"/>
        <v>374147307.68268526</v>
      </c>
      <c r="D224" s="2">
        <f t="shared" si="136"/>
        <v>163339102.21191975</v>
      </c>
      <c r="E224" s="4">
        <f t="shared" si="137"/>
        <v>30098150.674654931</v>
      </c>
      <c r="F224" s="18">
        <f>'Opt 3 - Tier Allocation'!Q198</f>
        <v>180710054.79611057</v>
      </c>
      <c r="G224" s="1">
        <f t="shared" si="138"/>
        <v>0.91955534609865164</v>
      </c>
      <c r="H224" s="1">
        <f t="shared" si="139"/>
        <v>8.0444653901348417E-2</v>
      </c>
      <c r="I224" s="39">
        <f t="shared" si="140"/>
        <v>1</v>
      </c>
      <c r="J224" s="41">
        <f t="shared" si="141"/>
        <v>1.9999999799999998E-2</v>
      </c>
      <c r="K224" s="4">
        <f t="shared" si="142"/>
        <v>3614201.0597802</v>
      </c>
      <c r="L224" s="40">
        <f t="shared" si="143"/>
        <v>0.2336698985125979</v>
      </c>
      <c r="M224" s="39">
        <f t="shared" si="144"/>
        <v>2464842.5509644388</v>
      </c>
      <c r="N224" s="40">
        <f t="shared" si="145"/>
        <v>3.3847222739897313E-2</v>
      </c>
      <c r="O224" s="16">
        <f t="shared" si="146"/>
        <v>3.3639764082875362E-2</v>
      </c>
      <c r="P224" s="18"/>
      <c r="Q224" s="18">
        <f t="shared" si="147"/>
        <v>186789098.4068552</v>
      </c>
    </row>
    <row r="225" spans="1:37" ht="16" x14ac:dyDescent="0.2">
      <c r="A225" s="258"/>
      <c r="B225" s="14" t="s">
        <v>7</v>
      </c>
      <c r="C225" s="2">
        <f t="shared" si="135"/>
        <v>416580234.87989271</v>
      </c>
      <c r="D225" s="2">
        <f t="shared" si="136"/>
        <v>167248761.01279837</v>
      </c>
      <c r="E225" s="4">
        <f t="shared" si="137"/>
        <v>127702373.02188784</v>
      </c>
      <c r="F225" s="18">
        <f>'Opt 3 - Tier Allocation'!Q199</f>
        <v>121629100.8452065</v>
      </c>
      <c r="G225" s="1">
        <f t="shared" si="138"/>
        <v>0.69345071530168334</v>
      </c>
      <c r="H225" s="1">
        <f t="shared" si="139"/>
        <v>0.3065492846983166</v>
      </c>
      <c r="I225" s="39">
        <f t="shared" si="140"/>
        <v>2</v>
      </c>
      <c r="J225" s="41">
        <f t="shared" si="141"/>
        <v>1.9999999799999998E-2</v>
      </c>
      <c r="K225" s="4">
        <f t="shared" si="142"/>
        <v>2432581.9925783095</v>
      </c>
      <c r="L225" s="40">
        <f t="shared" si="143"/>
        <v>0.12556755360046848</v>
      </c>
      <c r="M225" s="39">
        <f t="shared" si="144"/>
        <v>7819618.7017960241</v>
      </c>
      <c r="N225" s="40">
        <f t="shared" si="145"/>
        <v>0.1073790193362234</v>
      </c>
      <c r="O225" s="16">
        <f t="shared" si="146"/>
        <v>8.4290688849389631E-2</v>
      </c>
      <c r="P225" s="18"/>
      <c r="Q225" s="18">
        <f t="shared" si="147"/>
        <v>131881301.53958084</v>
      </c>
    </row>
    <row r="226" spans="1:37" ht="16" x14ac:dyDescent="0.2">
      <c r="A226" s="258"/>
      <c r="B226" s="14" t="s">
        <v>8</v>
      </c>
      <c r="C226" s="2">
        <f t="shared" si="135"/>
        <v>1153378120.3195038</v>
      </c>
      <c r="D226" s="2">
        <f t="shared" si="136"/>
        <v>425535972.7752347</v>
      </c>
      <c r="E226" s="4">
        <f t="shared" si="137"/>
        <v>386168811.57874799</v>
      </c>
      <c r="F226" s="18">
        <f>'Opt 3 - Tier Allocation'!Q200</f>
        <v>341673335.9655211</v>
      </c>
      <c r="G226" s="1">
        <f t="shared" si="138"/>
        <v>0.66518455242434005</v>
      </c>
      <c r="H226" s="1">
        <f t="shared" si="139"/>
        <v>0.3348154475756599</v>
      </c>
      <c r="I226" s="39">
        <f t="shared" si="140"/>
        <v>2</v>
      </c>
      <c r="J226" s="41">
        <f t="shared" si="141"/>
        <v>1.9999999799999998E-2</v>
      </c>
      <c r="K226" s="4">
        <f t="shared" si="142"/>
        <v>6833466.6509757536</v>
      </c>
      <c r="L226" s="40">
        <f t="shared" si="143"/>
        <v>0.13714583187201412</v>
      </c>
      <c r="M226" s="39">
        <f t="shared" si="144"/>
        <v>8540646.6959771495</v>
      </c>
      <c r="N226" s="40">
        <f t="shared" si="145"/>
        <v>0.11728017716522993</v>
      </c>
      <c r="O226" s="16">
        <f t="shared" si="146"/>
        <v>4.4996526590252668E-2</v>
      </c>
      <c r="P226" s="18"/>
      <c r="Q226" s="18">
        <f t="shared" si="147"/>
        <v>357047449.31247401</v>
      </c>
    </row>
    <row r="227" spans="1:37" ht="16" x14ac:dyDescent="0.2">
      <c r="A227" s="258"/>
      <c r="B227" s="14" t="s">
        <v>9</v>
      </c>
      <c r="C227" s="2">
        <f t="shared" si="135"/>
        <v>117436448.13204242</v>
      </c>
      <c r="D227" s="2">
        <f t="shared" si="136"/>
        <v>50630326.42048344</v>
      </c>
      <c r="E227" s="4">
        <f t="shared" si="137"/>
        <v>11667271.25893613</v>
      </c>
      <c r="F227" s="18">
        <f>'Opt 3 - Tier Allocation'!Q201</f>
        <v>55138850.452622853</v>
      </c>
      <c r="G227" s="1">
        <f t="shared" si="138"/>
        <v>0.9006503394430172</v>
      </c>
      <c r="H227" s="1">
        <f t="shared" si="139"/>
        <v>9.9349660556982786E-2</v>
      </c>
      <c r="I227" s="39">
        <f t="shared" si="140"/>
        <v>1</v>
      </c>
      <c r="J227" s="41">
        <f t="shared" si="141"/>
        <v>1.9999999799999998E-2</v>
      </c>
      <c r="K227" s="4">
        <f t="shared" si="142"/>
        <v>1102776.9980246869</v>
      </c>
      <c r="L227" s="40">
        <f t="shared" si="143"/>
        <v>0.28858381475642209</v>
      </c>
      <c r="M227" s="39">
        <f t="shared" si="144"/>
        <v>3044096.2685355013</v>
      </c>
      <c r="N227" s="40">
        <f t="shared" si="145"/>
        <v>4.1801535924676551E-2</v>
      </c>
      <c r="O227" s="16">
        <f t="shared" si="146"/>
        <v>7.5207829552473543E-2</v>
      </c>
      <c r="P227" s="18"/>
      <c r="Q227" s="18">
        <f t="shared" si="147"/>
        <v>59285723.719183043</v>
      </c>
    </row>
    <row r="228" spans="1:37" ht="16" x14ac:dyDescent="0.2">
      <c r="A228" s="258"/>
      <c r="B228" s="14" t="s">
        <v>10</v>
      </c>
      <c r="C228" s="2">
        <f t="shared" si="135"/>
        <v>1575107816.780582</v>
      </c>
      <c r="D228" s="2">
        <f t="shared" si="136"/>
        <v>1044362364.5886633</v>
      </c>
      <c r="E228" s="4">
        <f t="shared" si="137"/>
        <v>148040291.10946065</v>
      </c>
      <c r="F228" s="18">
        <f>'Opt 3 - Tier Allocation'!Q202</f>
        <v>382705161.08245796</v>
      </c>
      <c r="G228" s="1">
        <f t="shared" si="138"/>
        <v>0.9060125982918138</v>
      </c>
      <c r="H228" s="1">
        <f t="shared" si="139"/>
        <v>9.3987401708186161E-2</v>
      </c>
      <c r="I228" s="39">
        <f t="shared" si="140"/>
        <v>1</v>
      </c>
      <c r="J228" s="41">
        <f t="shared" si="141"/>
        <v>1.9999999799999998E-2</v>
      </c>
      <c r="K228" s="4">
        <f t="shared" si="142"/>
        <v>7654103.1451081261</v>
      </c>
      <c r="L228" s="40">
        <f t="shared" si="143"/>
        <v>0.27300790734393976</v>
      </c>
      <c r="M228" s="39">
        <f t="shared" si="144"/>
        <v>2879795.4338770779</v>
      </c>
      <c r="N228" s="40">
        <f t="shared" si="145"/>
        <v>3.954535654118662E-2</v>
      </c>
      <c r="O228" s="16">
        <f t="shared" si="146"/>
        <v>2.7524840661125972E-2</v>
      </c>
      <c r="P228" s="18"/>
      <c r="Q228" s="18">
        <f t="shared" si="147"/>
        <v>393239059.66144317</v>
      </c>
    </row>
    <row r="229" spans="1:37" ht="16" x14ac:dyDescent="0.2">
      <c r="A229" s="258"/>
      <c r="B229" s="14" t="s">
        <v>11</v>
      </c>
      <c r="C229" s="2">
        <f t="shared" si="135"/>
        <v>247533911.42866787</v>
      </c>
      <c r="D229" s="2">
        <f t="shared" si="136"/>
        <v>86472734.020217896</v>
      </c>
      <c r="E229" s="4">
        <f t="shared" si="137"/>
        <v>59452254.4805682</v>
      </c>
      <c r="F229" s="18">
        <f>'Opt 3 - Tier Allocation'!Q203</f>
        <v>101608922.92788178</v>
      </c>
      <c r="G229" s="1">
        <f t="shared" si="138"/>
        <v>0.75982177901430437</v>
      </c>
      <c r="H229" s="1">
        <f t="shared" si="139"/>
        <v>0.24017822098569563</v>
      </c>
      <c r="I229" s="39">
        <f t="shared" si="140"/>
        <v>2</v>
      </c>
      <c r="J229" s="41">
        <f t="shared" si="141"/>
        <v>1.9999999799999998E-2</v>
      </c>
      <c r="K229" s="4">
        <f t="shared" si="142"/>
        <v>2032178.4382358508</v>
      </c>
      <c r="L229" s="40">
        <f t="shared" si="143"/>
        <v>9.8380890586537761E-2</v>
      </c>
      <c r="M229" s="39">
        <f t="shared" si="144"/>
        <v>6126591.0648988616</v>
      </c>
      <c r="N229" s="40">
        <f t="shared" si="145"/>
        <v>8.4130360508730212E-2</v>
      </c>
      <c r="O229" s="16">
        <f t="shared" si="146"/>
        <v>8.0295797534686034E-2</v>
      </c>
      <c r="P229" s="18"/>
      <c r="Q229" s="18">
        <f t="shared" si="147"/>
        <v>109767692.43101649</v>
      </c>
    </row>
    <row r="230" spans="1:37" ht="16" x14ac:dyDescent="0.2">
      <c r="A230" s="258"/>
      <c r="B230" s="14"/>
      <c r="C230" s="2"/>
      <c r="D230" s="2"/>
      <c r="E230" s="4"/>
      <c r="F230" s="18"/>
      <c r="G230" s="1"/>
      <c r="H230" s="1"/>
      <c r="I230" s="39"/>
      <c r="J230" s="39"/>
      <c r="K230" s="39"/>
      <c r="L230" s="39"/>
      <c r="M230" s="39"/>
      <c r="N230" s="39"/>
      <c r="O230" s="16"/>
      <c r="P230" s="16"/>
      <c r="Q230" s="16"/>
    </row>
    <row r="231" spans="1:37" x14ac:dyDescent="0.2">
      <c r="A231" s="258"/>
      <c r="B231" s="15" t="s">
        <v>14</v>
      </c>
      <c r="C231" s="30">
        <f>SUM(C218:C229)</f>
        <v>5658757828.9571905</v>
      </c>
      <c r="D231" s="30">
        <f>SUM(D218:D229)</f>
        <v>2482185758.979825</v>
      </c>
      <c r="E231" s="30">
        <f>SUM(E218:E229)</f>
        <v>1356007235.4696913</v>
      </c>
      <c r="F231" s="30">
        <f>SUM(F218:F229)</f>
        <v>1820564834.5076745</v>
      </c>
      <c r="G231" s="11">
        <f>1-H231</f>
        <v>0.76037015959038146</v>
      </c>
      <c r="H231" s="11">
        <f>MAX(0,E231/C231)</f>
        <v>0.23962984040961857</v>
      </c>
      <c r="I231" s="11"/>
      <c r="J231" s="11"/>
      <c r="K231" s="30">
        <f>SUM(K218:K229)</f>
        <v>36411296.326040514</v>
      </c>
      <c r="L231" s="11"/>
      <c r="M231" s="30">
        <f>SUM(M218:M229)</f>
        <v>72822593.744420066</v>
      </c>
      <c r="N231" s="11"/>
      <c r="O231" s="16"/>
      <c r="P231" s="16"/>
      <c r="Q231" s="30">
        <f>SUM(Q218:Q229)</f>
        <v>1929798724.578135</v>
      </c>
    </row>
    <row r="232" spans="1:37" x14ac:dyDescent="0.2">
      <c r="G232" s="21">
        <f>SUM(G218:G229)</f>
        <v>9.2144240900355747</v>
      </c>
      <c r="H232" s="21">
        <f>SUM(H218:H229)</f>
        <v>2.7855759099644239</v>
      </c>
      <c r="I232" s="21"/>
      <c r="J232" s="21"/>
      <c r="K232" s="21"/>
      <c r="L232" s="21"/>
      <c r="M232" s="21"/>
      <c r="N232" s="21"/>
      <c r="O232" s="21"/>
      <c r="P232" s="21"/>
      <c r="Q232" s="21"/>
    </row>
    <row r="235" spans="1:37" ht="48" x14ac:dyDescent="0.2">
      <c r="A235" s="257">
        <v>9</v>
      </c>
      <c r="B235" t="s">
        <v>26</v>
      </c>
      <c r="C235" s="4">
        <f>'Opt 3 - Tier Allocation'!C210</f>
        <v>1929798724.5781348</v>
      </c>
      <c r="D235" s="4"/>
      <c r="F235" s="48" t="s">
        <v>68</v>
      </c>
      <c r="G235" s="47" t="s">
        <v>62</v>
      </c>
      <c r="H235" s="48" t="s">
        <v>55</v>
      </c>
      <c r="I235" s="48" t="s">
        <v>54</v>
      </c>
      <c r="J235" s="48" t="s">
        <v>56</v>
      </c>
    </row>
    <row r="236" spans="1:37" x14ac:dyDescent="0.2">
      <c r="A236" s="257"/>
      <c r="B236" t="s">
        <v>27</v>
      </c>
      <c r="C236" s="6">
        <f>C235*(1+C237)</f>
        <v>2045586648.0528231</v>
      </c>
      <c r="D236" s="6"/>
      <c r="F236" t="s">
        <v>53</v>
      </c>
      <c r="G236" s="7">
        <v>1</v>
      </c>
      <c r="H236" s="4">
        <f>SUMIF(I$244:I$255,G236,E$244:E$255)</f>
        <v>198635825.27156764</v>
      </c>
      <c r="I236" s="1">
        <f>H236/SUM(H$236:H$238)</f>
        <v>0.14800699677232274</v>
      </c>
      <c r="J236" s="6">
        <f>($C$239-$K$257)*I236</f>
        <v>11424948.601119515</v>
      </c>
      <c r="K236" s="1"/>
      <c r="M236" s="6"/>
      <c r="N236" s="6"/>
    </row>
    <row r="237" spans="1:37" x14ac:dyDescent="0.2">
      <c r="A237" s="257"/>
      <c r="B237" t="s">
        <v>28</v>
      </c>
      <c r="C237" s="19">
        <f>$C$3</f>
        <v>0.06</v>
      </c>
      <c r="D237" s="19"/>
      <c r="F237" s="38" t="s">
        <v>69</v>
      </c>
      <c r="G237" s="7">
        <v>2</v>
      </c>
      <c r="H237" s="4">
        <f>SUMIF(I$244:I$255,G237,E$244:E$255)</f>
        <v>1143434682.2269838</v>
      </c>
      <c r="I237" s="1">
        <f>H237/SUM(H$236:H$238)</f>
        <v>0.85199300322767735</v>
      </c>
      <c r="J237" s="6">
        <f>($C$239-$K$257)*I237</f>
        <v>65767000.767965831</v>
      </c>
      <c r="K237" s="1"/>
      <c r="M237" s="6"/>
      <c r="N237" s="6"/>
    </row>
    <row r="238" spans="1:37" x14ac:dyDescent="0.2">
      <c r="A238" s="257"/>
      <c r="B238" t="s">
        <v>16</v>
      </c>
      <c r="C238" s="20">
        <f>$C$4</f>
        <v>0.03</v>
      </c>
      <c r="D238" s="20"/>
      <c r="F238" t="s">
        <v>70</v>
      </c>
      <c r="G238" s="7">
        <v>3</v>
      </c>
      <c r="H238" s="4">
        <f>SUMIF(I$244:I$255,G238,E$244:E$255)</f>
        <v>0</v>
      </c>
      <c r="I238" s="1">
        <f>H238/SUM(H$236:H$238)</f>
        <v>0</v>
      </c>
      <c r="J238" s="6">
        <f>($C$239-$K$257)*I238</f>
        <v>0</v>
      </c>
      <c r="K238" s="1"/>
      <c r="M238" s="6"/>
      <c r="N238" s="6"/>
    </row>
    <row r="239" spans="1:37" x14ac:dyDescent="0.2">
      <c r="A239" s="257"/>
      <c r="B239" t="s">
        <v>31</v>
      </c>
      <c r="C239" s="6">
        <f>C236-C235</f>
        <v>115787923.47468829</v>
      </c>
      <c r="D239" s="6"/>
    </row>
    <row r="240" spans="1:37" x14ac:dyDescent="0.2">
      <c r="A240" s="257"/>
      <c r="B240" t="s">
        <v>59</v>
      </c>
      <c r="C240" s="16">
        <f>$C$7</f>
        <v>0.66666665999999997</v>
      </c>
      <c r="D240" s="16"/>
      <c r="S240" s="14"/>
      <c r="T240" s="2"/>
      <c r="U240" s="31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</row>
    <row r="241" spans="1:17" x14ac:dyDescent="0.2">
      <c r="A241" s="257"/>
      <c r="B241" t="s">
        <v>48</v>
      </c>
      <c r="C241" s="20">
        <f>((1+$C$4)^A235)-1</f>
        <v>0.30477318382924445</v>
      </c>
      <c r="D241" s="16"/>
    </row>
    <row r="242" spans="1:17" x14ac:dyDescent="0.2">
      <c r="A242" s="257"/>
    </row>
    <row r="243" spans="1:17" ht="49" thickBot="1" x14ac:dyDescent="0.25">
      <c r="A243" s="258" t="s">
        <v>51</v>
      </c>
      <c r="B243" s="22" t="s">
        <v>12</v>
      </c>
      <c r="C243" s="13" t="s">
        <v>15</v>
      </c>
      <c r="D243" s="13" t="s">
        <v>63</v>
      </c>
      <c r="E243" s="13" t="s">
        <v>13</v>
      </c>
      <c r="F243" s="13" t="s">
        <v>29</v>
      </c>
      <c r="G243" s="13" t="s">
        <v>50</v>
      </c>
      <c r="H243" s="13" t="s">
        <v>17</v>
      </c>
      <c r="I243" s="13" t="s">
        <v>52</v>
      </c>
      <c r="J243" s="13" t="s">
        <v>59</v>
      </c>
      <c r="K243" s="13" t="s">
        <v>60</v>
      </c>
      <c r="L243" s="13" t="s">
        <v>61</v>
      </c>
      <c r="M243" s="13" t="s">
        <v>58</v>
      </c>
      <c r="N243" s="13" t="s">
        <v>57</v>
      </c>
      <c r="O243" s="28" t="s">
        <v>25</v>
      </c>
      <c r="P243" s="28"/>
      <c r="Q243" s="28" t="s">
        <v>32</v>
      </c>
    </row>
    <row r="244" spans="1:17" ht="17" thickTop="1" x14ac:dyDescent="0.2">
      <c r="A244" s="258"/>
      <c r="B244" s="14" t="s">
        <v>0</v>
      </c>
      <c r="C244" s="2">
        <f t="shared" ref="C244:C255" si="148">VLOOKUP($B244,$B$9:$O$22,2,FALSE)*(1+$C$241)</f>
        <v>96632829.739660591</v>
      </c>
      <c r="D244" s="2">
        <f t="shared" ref="D244:D255" si="149">VLOOKUP($B244,$B$9:$O$22,3,FALSE)*(1+$C$241)</f>
        <v>18990860.735655807</v>
      </c>
      <c r="E244" s="4">
        <f t="shared" ref="E244:E255" si="150">C244-D244-F244</f>
        <v>5339134.3035787493</v>
      </c>
      <c r="F244" s="18">
        <f>'Opt 3 - Tier Allocation'!Q218</f>
        <v>72302834.700426027</v>
      </c>
      <c r="G244" s="1">
        <f t="shared" ref="G244:G255" si="151">1-H244</f>
        <v>0.94474823599843905</v>
      </c>
      <c r="H244" s="1">
        <f t="shared" ref="H244:H255" si="152">MAX(0,E244/C244)</f>
        <v>5.5251764001560968E-2</v>
      </c>
      <c r="I244" s="39">
        <f t="shared" ref="I244:I255" si="153">IF(H244&lt;0.15,1,IF(H244&gt;0.46,3,2))</f>
        <v>1</v>
      </c>
      <c r="J244" s="41">
        <f t="shared" ref="J244:J255" si="154">MIN($C$4,($C$3*0.5))*$C$7</f>
        <v>1.9999999799999998E-2</v>
      </c>
      <c r="K244" s="4">
        <f t="shared" ref="K244:K255" si="155">J244*F244</f>
        <v>1446056.6795479534</v>
      </c>
      <c r="L244" s="40">
        <f t="shared" ref="L244:L255" si="156">H244/SUMIF($I$244:$I$255,I244,$H$244:$H$255)</f>
        <v>0.17979583571181382</v>
      </c>
      <c r="M244" s="39">
        <f t="shared" ref="M244:M255" si="157">L244*VLOOKUP(I244,$G$235:$J$238,4,FALSE)</f>
        <v>2054158.1817028013</v>
      </c>
      <c r="N244" s="40">
        <f t="shared" ref="N244:N255" si="158">M244/SUM($M$244:$M$255)</f>
        <v>2.6611041675875493E-2</v>
      </c>
      <c r="O244" s="16">
        <f t="shared" ref="O244:O255" si="159">(K244+M244)/F244</f>
        <v>4.8410479004775873E-2</v>
      </c>
      <c r="P244" s="18"/>
      <c r="Q244" s="18">
        <f t="shared" ref="Q244:Q255" si="160">M244+K244+F244</f>
        <v>75803049.561676785</v>
      </c>
    </row>
    <row r="245" spans="1:17" ht="16" x14ac:dyDescent="0.2">
      <c r="A245" s="258"/>
      <c r="B245" s="14" t="s">
        <v>1</v>
      </c>
      <c r="C245" s="2">
        <f t="shared" si="148"/>
        <v>215243763.55960152</v>
      </c>
      <c r="D245" s="2">
        <f t="shared" si="149"/>
        <v>72066875.143104121</v>
      </c>
      <c r="E245" s="4">
        <f t="shared" si="150"/>
        <v>43728569.311460182</v>
      </c>
      <c r="F245" s="18">
        <f>'Opt 3 - Tier Allocation'!Q219</f>
        <v>99448319.105037227</v>
      </c>
      <c r="G245" s="1">
        <f t="shared" si="151"/>
        <v>0.79684164322209672</v>
      </c>
      <c r="H245" s="1">
        <f t="shared" si="152"/>
        <v>0.20315835677790328</v>
      </c>
      <c r="I245" s="39">
        <f t="shared" si="153"/>
        <v>2</v>
      </c>
      <c r="J245" s="41">
        <f t="shared" si="154"/>
        <v>1.9999999799999998E-2</v>
      </c>
      <c r="K245" s="4">
        <f t="shared" si="155"/>
        <v>1988966.3622110805</v>
      </c>
      <c r="L245" s="40">
        <f t="shared" si="156"/>
        <v>8.9054287538424023E-2</v>
      </c>
      <c r="M245" s="39">
        <f t="shared" si="157"/>
        <v>5856833.3969301824</v>
      </c>
      <c r="N245" s="40">
        <f t="shared" si="158"/>
        <v>7.5873629890162983E-2</v>
      </c>
      <c r="O245" s="16">
        <f t="shared" si="159"/>
        <v>7.8893236504626443E-2</v>
      </c>
      <c r="P245" s="18"/>
      <c r="Q245" s="18">
        <f t="shared" si="160"/>
        <v>107294118.86417849</v>
      </c>
    </row>
    <row r="246" spans="1:17" ht="16" x14ac:dyDescent="0.2">
      <c r="A246" s="258"/>
      <c r="B246" s="14" t="s">
        <v>2</v>
      </c>
      <c r="C246" s="2">
        <f t="shared" si="148"/>
        <v>145939451.89209035</v>
      </c>
      <c r="D246" s="2">
        <f t="shared" si="149"/>
        <v>36857476.526422992</v>
      </c>
      <c r="E246" s="4">
        <f t="shared" si="150"/>
        <v>27040729.37025179</v>
      </c>
      <c r="F246" s="18">
        <f>'Opt 3 - Tier Allocation'!Q220</f>
        <v>82041245.995415568</v>
      </c>
      <c r="G246" s="1">
        <f t="shared" si="151"/>
        <v>0.81471268378994544</v>
      </c>
      <c r="H246" s="1">
        <f t="shared" si="152"/>
        <v>0.18528731621005456</v>
      </c>
      <c r="I246" s="39">
        <f t="shared" si="153"/>
        <v>2</v>
      </c>
      <c r="J246" s="41">
        <f t="shared" si="154"/>
        <v>1.9999999799999998E-2</v>
      </c>
      <c r="K246" s="4">
        <f t="shared" si="155"/>
        <v>1640824.9035000619</v>
      </c>
      <c r="L246" s="40">
        <f t="shared" si="156"/>
        <v>8.1220532577116228E-2</v>
      </c>
      <c r="M246" s="39">
        <f t="shared" si="157"/>
        <v>5341630.8283737963</v>
      </c>
      <c r="N246" s="40">
        <f t="shared" si="158"/>
        <v>6.9199325474128631E-2</v>
      </c>
      <c r="O246" s="16">
        <f t="shared" si="159"/>
        <v>8.5109089302032731E-2</v>
      </c>
      <c r="P246" s="18"/>
      <c r="Q246" s="18">
        <f t="shared" si="160"/>
        <v>89023701.727289423</v>
      </c>
    </row>
    <row r="247" spans="1:17" ht="16" x14ac:dyDescent="0.2">
      <c r="A247" s="258"/>
      <c r="B247" s="14" t="s">
        <v>3</v>
      </c>
      <c r="C247" s="2">
        <f t="shared" si="148"/>
        <v>623416619.13078654</v>
      </c>
      <c r="D247" s="2">
        <f t="shared" si="149"/>
        <v>223677945.046599</v>
      </c>
      <c r="E247" s="4">
        <f t="shared" si="150"/>
        <v>244461237.90258366</v>
      </c>
      <c r="F247" s="18">
        <f>'Opt 3 - Tier Allocation'!Q221</f>
        <v>155277436.18160385</v>
      </c>
      <c r="G247" s="1">
        <f t="shared" si="151"/>
        <v>0.60786858995926418</v>
      </c>
      <c r="H247" s="1">
        <f t="shared" si="152"/>
        <v>0.39213141004073576</v>
      </c>
      <c r="I247" s="39">
        <f t="shared" si="153"/>
        <v>2</v>
      </c>
      <c r="J247" s="41">
        <f t="shared" si="154"/>
        <v>1.9999999799999998E-2</v>
      </c>
      <c r="K247" s="4">
        <f t="shared" si="155"/>
        <v>3105548.6925765895</v>
      </c>
      <c r="L247" s="40">
        <f t="shared" si="156"/>
        <v>0.1718904597205009</v>
      </c>
      <c r="M247" s="39">
        <f t="shared" si="157"/>
        <v>11304719.996444182</v>
      </c>
      <c r="N247" s="40">
        <f t="shared" si="158"/>
        <v>0.14644946900345562</v>
      </c>
      <c r="O247" s="16">
        <f t="shared" si="159"/>
        <v>9.2803365662009793E-2</v>
      </c>
      <c r="P247" s="18"/>
      <c r="Q247" s="18">
        <f t="shared" si="160"/>
        <v>169687704.87062463</v>
      </c>
    </row>
    <row r="248" spans="1:17" ht="16" x14ac:dyDescent="0.2">
      <c r="A248" s="258"/>
      <c r="B248" s="14" t="s">
        <v>4</v>
      </c>
      <c r="C248" s="2">
        <f t="shared" si="148"/>
        <v>214279847.96233204</v>
      </c>
      <c r="D248" s="2">
        <f t="shared" si="149"/>
        <v>40426807.676313184</v>
      </c>
      <c r="E248" s="4">
        <f t="shared" si="150"/>
        <v>64832749.478240699</v>
      </c>
      <c r="F248" s="18">
        <f>'Opt 3 - Tier Allocation'!Q222</f>
        <v>109020290.80777815</v>
      </c>
      <c r="G248" s="1">
        <f t="shared" si="151"/>
        <v>0.69743888613530491</v>
      </c>
      <c r="H248" s="1">
        <f t="shared" si="152"/>
        <v>0.30256111386469509</v>
      </c>
      <c r="I248" s="39">
        <f t="shared" si="153"/>
        <v>2</v>
      </c>
      <c r="J248" s="41">
        <f t="shared" si="154"/>
        <v>1.9999999799999998E-2</v>
      </c>
      <c r="K248" s="4">
        <f t="shared" si="155"/>
        <v>2180405.7943515046</v>
      </c>
      <c r="L248" s="40">
        <f t="shared" si="156"/>
        <v>0.1326273989383982</v>
      </c>
      <c r="M248" s="39">
        <f t="shared" si="157"/>
        <v>8722506.2478349451</v>
      </c>
      <c r="N248" s="40">
        <f t="shared" si="158"/>
        <v>0.11299761593180112</v>
      </c>
      <c r="O248" s="16">
        <f t="shared" si="159"/>
        <v>0.10000809905570875</v>
      </c>
      <c r="P248" s="18"/>
      <c r="Q248" s="18">
        <f t="shared" si="160"/>
        <v>119923202.8499646</v>
      </c>
    </row>
    <row r="249" spans="1:17" ht="16" x14ac:dyDescent="0.2">
      <c r="A249" s="258"/>
      <c r="B249" s="14" t="s">
        <v>5</v>
      </c>
      <c r="C249" s="2">
        <f t="shared" si="148"/>
        <v>532298697.14136004</v>
      </c>
      <c r="D249" s="2">
        <f t="shared" si="149"/>
        <v>168914427.76092747</v>
      </c>
      <c r="E249" s="4">
        <f t="shared" si="150"/>
        <v>189685996.66311118</v>
      </c>
      <c r="F249" s="18">
        <f>'Opt 3 - Tier Allocation'!Q223</f>
        <v>173698272.71732143</v>
      </c>
      <c r="G249" s="1">
        <f t="shared" si="151"/>
        <v>0.64364745267686208</v>
      </c>
      <c r="H249" s="1">
        <f t="shared" si="152"/>
        <v>0.35635254732313792</v>
      </c>
      <c r="I249" s="39">
        <f t="shared" si="153"/>
        <v>2</v>
      </c>
      <c r="J249" s="41">
        <f t="shared" si="154"/>
        <v>1.9999999799999998E-2</v>
      </c>
      <c r="K249" s="4">
        <f t="shared" si="155"/>
        <v>3473965.4196067736</v>
      </c>
      <c r="L249" s="40">
        <f t="shared" si="156"/>
        <v>0.15620682662371405</v>
      </c>
      <c r="M249" s="39">
        <f t="shared" si="157"/>
        <v>10273254.486523308</v>
      </c>
      <c r="N249" s="40">
        <f t="shared" si="158"/>
        <v>0.13308712333980321</v>
      </c>
      <c r="O249" s="16">
        <f t="shared" si="159"/>
        <v>7.9144252220069364E-2</v>
      </c>
      <c r="P249" s="18"/>
      <c r="Q249" s="18">
        <f t="shared" si="160"/>
        <v>187445492.6234515</v>
      </c>
    </row>
    <row r="250" spans="1:17" ht="16" x14ac:dyDescent="0.2">
      <c r="A250" s="258"/>
      <c r="B250" s="14" t="s">
        <v>6</v>
      </c>
      <c r="C250" s="2">
        <f t="shared" si="148"/>
        <v>385371726.91316581</v>
      </c>
      <c r="D250" s="2">
        <f t="shared" si="149"/>
        <v>168239275.27827737</v>
      </c>
      <c r="E250" s="4">
        <f t="shared" si="150"/>
        <v>30343353.228033245</v>
      </c>
      <c r="F250" s="18">
        <f>'Opt 3 - Tier Allocation'!Q224</f>
        <v>186789098.4068552</v>
      </c>
      <c r="G250" s="1">
        <f t="shared" si="151"/>
        <v>0.92126211886096565</v>
      </c>
      <c r="H250" s="1">
        <f t="shared" si="152"/>
        <v>7.8737881139034321E-2</v>
      </c>
      <c r="I250" s="39">
        <f t="shared" si="153"/>
        <v>1</v>
      </c>
      <c r="J250" s="41">
        <f t="shared" si="154"/>
        <v>1.9999999799999998E-2</v>
      </c>
      <c r="K250" s="4">
        <f t="shared" si="155"/>
        <v>3735781.9307792839</v>
      </c>
      <c r="L250" s="40">
        <f t="shared" si="156"/>
        <v>0.25622246452023112</v>
      </c>
      <c r="M250" s="39">
        <f t="shared" si="157"/>
        <v>2927328.4875958092</v>
      </c>
      <c r="N250" s="40">
        <f t="shared" si="158"/>
        <v>3.7922717479242418E-2</v>
      </c>
      <c r="O250" s="16">
        <f t="shared" si="159"/>
        <v>3.5671837784996538E-2</v>
      </c>
      <c r="P250" s="18"/>
      <c r="Q250" s="18">
        <f t="shared" si="160"/>
        <v>193452208.8252303</v>
      </c>
    </row>
    <row r="251" spans="1:17" ht="16" x14ac:dyDescent="0.2">
      <c r="A251" s="258"/>
      <c r="B251" s="14" t="s">
        <v>7</v>
      </c>
      <c r="C251" s="2">
        <f t="shared" si="148"/>
        <v>429077641.9262895</v>
      </c>
      <c r="D251" s="2">
        <f t="shared" si="149"/>
        <v>172266223.84318233</v>
      </c>
      <c r="E251" s="4">
        <f t="shared" si="150"/>
        <v>124930116.54352634</v>
      </c>
      <c r="F251" s="18">
        <f>'Opt 3 - Tier Allocation'!Q225</f>
        <v>131881301.53958084</v>
      </c>
      <c r="G251" s="1">
        <f t="shared" si="151"/>
        <v>0.70884030222905936</v>
      </c>
      <c r="H251" s="1">
        <f t="shared" si="152"/>
        <v>0.29115969777094064</v>
      </c>
      <c r="I251" s="39">
        <f t="shared" si="153"/>
        <v>2</v>
      </c>
      <c r="J251" s="41">
        <f t="shared" si="154"/>
        <v>1.9999999799999998E-2</v>
      </c>
      <c r="K251" s="4">
        <f t="shared" si="155"/>
        <v>2637626.0044153561</v>
      </c>
      <c r="L251" s="40">
        <f t="shared" si="156"/>
        <v>0.12762959819191735</v>
      </c>
      <c r="M251" s="39">
        <f t="shared" si="157"/>
        <v>8393815.8823029995</v>
      </c>
      <c r="N251" s="40">
        <f t="shared" si="158"/>
        <v>0.10873952466427339</v>
      </c>
      <c r="O251" s="16">
        <f t="shared" si="159"/>
        <v>8.3646747172930705E-2</v>
      </c>
      <c r="P251" s="18"/>
      <c r="Q251" s="18">
        <f t="shared" si="160"/>
        <v>142912743.42629918</v>
      </c>
    </row>
    <row r="252" spans="1:17" ht="16" x14ac:dyDescent="0.2">
      <c r="A252" s="258"/>
      <c r="B252" s="14" t="s">
        <v>8</v>
      </c>
      <c r="C252" s="2">
        <f t="shared" si="148"/>
        <v>1187979463.9290888</v>
      </c>
      <c r="D252" s="2">
        <f t="shared" si="149"/>
        <v>438302051.9584918</v>
      </c>
      <c r="E252" s="4">
        <f t="shared" si="150"/>
        <v>392629962.65812302</v>
      </c>
      <c r="F252" s="18">
        <f>'Opt 3 - Tier Allocation'!Q226</f>
        <v>357047449.31247401</v>
      </c>
      <c r="G252" s="1">
        <f t="shared" si="151"/>
        <v>0.66949768528864118</v>
      </c>
      <c r="H252" s="1">
        <f t="shared" si="152"/>
        <v>0.33050231471135877</v>
      </c>
      <c r="I252" s="39">
        <f t="shared" si="153"/>
        <v>2</v>
      </c>
      <c r="J252" s="41">
        <f t="shared" si="154"/>
        <v>1.9999999799999998E-2</v>
      </c>
      <c r="K252" s="4">
        <f t="shared" si="155"/>
        <v>7140948.9148399895</v>
      </c>
      <c r="L252" s="40">
        <f t="shared" si="156"/>
        <v>0.14487539982712305</v>
      </c>
      <c r="M252" s="39">
        <f t="shared" si="157"/>
        <v>9528020.5316897593</v>
      </c>
      <c r="N252" s="40">
        <f t="shared" si="158"/>
        <v>0.12343282699252107</v>
      </c>
      <c r="O252" s="16">
        <f t="shared" si="159"/>
        <v>4.6685586127634585E-2</v>
      </c>
      <c r="P252" s="18"/>
      <c r="Q252" s="18">
        <f t="shared" si="160"/>
        <v>373716418.75900376</v>
      </c>
    </row>
    <row r="253" spans="1:17" ht="16" x14ac:dyDescent="0.2">
      <c r="A253" s="258"/>
      <c r="B253" s="14" t="s">
        <v>9</v>
      </c>
      <c r="C253" s="2">
        <f t="shared" si="148"/>
        <v>120959541.57600369</v>
      </c>
      <c r="D253" s="2">
        <f t="shared" si="149"/>
        <v>52149236.213097945</v>
      </c>
      <c r="E253" s="4">
        <f t="shared" si="150"/>
        <v>9524581.6437226981</v>
      </c>
      <c r="F253" s="18">
        <f>'Opt 3 - Tier Allocation'!Q227</f>
        <v>59285723.719183043</v>
      </c>
      <c r="G253" s="1">
        <f t="shared" si="151"/>
        <v>0.92125812052835843</v>
      </c>
      <c r="H253" s="1">
        <f t="shared" si="152"/>
        <v>7.874187947164156E-2</v>
      </c>
      <c r="I253" s="39">
        <f t="shared" si="153"/>
        <v>1</v>
      </c>
      <c r="J253" s="41">
        <f t="shared" si="154"/>
        <v>1.9999999799999998E-2</v>
      </c>
      <c r="K253" s="4">
        <f t="shared" si="155"/>
        <v>1185714.4625265161</v>
      </c>
      <c r="L253" s="40">
        <f t="shared" si="156"/>
        <v>0.25623547557183396</v>
      </c>
      <c r="M253" s="39">
        <f t="shared" si="157"/>
        <v>2927477.138191618</v>
      </c>
      <c r="N253" s="40">
        <f t="shared" si="158"/>
        <v>3.7924643205915008E-2</v>
      </c>
      <c r="O253" s="16">
        <f t="shared" si="159"/>
        <v>6.9379124394280289E-2</v>
      </c>
      <c r="P253" s="18"/>
      <c r="Q253" s="18">
        <f t="shared" si="160"/>
        <v>63398915.319901176</v>
      </c>
    </row>
    <row r="254" spans="1:17" ht="16" x14ac:dyDescent="0.2">
      <c r="A254" s="258"/>
      <c r="B254" s="14" t="s">
        <v>10</v>
      </c>
      <c r="C254" s="2">
        <f t="shared" si="148"/>
        <v>1622361051.2839994</v>
      </c>
      <c r="D254" s="2">
        <f t="shared" si="149"/>
        <v>1075693235.5263233</v>
      </c>
      <c r="E254" s="4">
        <f t="shared" si="150"/>
        <v>153428756.09623295</v>
      </c>
      <c r="F254" s="18">
        <f>'Opt 3 - Tier Allocation'!Q228</f>
        <v>393239059.66144317</v>
      </c>
      <c r="G254" s="1">
        <f t="shared" si="151"/>
        <v>0.90542872317182199</v>
      </c>
      <c r="H254" s="1">
        <f t="shared" si="152"/>
        <v>9.4571276828177966E-2</v>
      </c>
      <c r="I254" s="39">
        <f t="shared" si="153"/>
        <v>1</v>
      </c>
      <c r="J254" s="41">
        <f t="shared" si="154"/>
        <v>1.9999999799999998E-2</v>
      </c>
      <c r="K254" s="4">
        <f t="shared" si="155"/>
        <v>7864781.1145810504</v>
      </c>
      <c r="L254" s="40">
        <f t="shared" si="156"/>
        <v>0.30774622419612102</v>
      </c>
      <c r="M254" s="39">
        <f t="shared" si="157"/>
        <v>3515984.7936292854</v>
      </c>
      <c r="N254" s="40">
        <f t="shared" si="158"/>
        <v>4.5548594411289785E-2</v>
      </c>
      <c r="O254" s="16">
        <f t="shared" si="159"/>
        <v>2.8941087179916811E-2</v>
      </c>
      <c r="P254" s="18"/>
      <c r="Q254" s="18">
        <f t="shared" si="160"/>
        <v>404619825.56965351</v>
      </c>
    </row>
    <row r="255" spans="1:17" ht="16" x14ac:dyDescent="0.2">
      <c r="A255" s="258"/>
      <c r="B255" s="14" t="s">
        <v>11</v>
      </c>
      <c r="C255" s="2">
        <f t="shared" si="148"/>
        <v>254959928.77152792</v>
      </c>
      <c r="D255" s="2">
        <f t="shared" si="149"/>
        <v>89066916.040824428</v>
      </c>
      <c r="E255" s="4">
        <f t="shared" si="150"/>
        <v>56125320.299686983</v>
      </c>
      <c r="F255" s="18">
        <f>'Opt 3 - Tier Allocation'!Q229</f>
        <v>109767692.43101649</v>
      </c>
      <c r="G255" s="1">
        <f t="shared" si="151"/>
        <v>0.77986611241180004</v>
      </c>
      <c r="H255" s="1">
        <f t="shared" si="152"/>
        <v>0.22013388758819991</v>
      </c>
      <c r="I255" s="39">
        <f t="shared" si="153"/>
        <v>2</v>
      </c>
      <c r="J255" s="41">
        <f t="shared" si="154"/>
        <v>1.9999999799999998E-2</v>
      </c>
      <c r="K255" s="4">
        <f t="shared" si="155"/>
        <v>2195353.826666791</v>
      </c>
      <c r="L255" s="40">
        <f t="shared" si="156"/>
        <v>9.6495496582806095E-2</v>
      </c>
      <c r="M255" s="39">
        <f t="shared" si="157"/>
        <v>6346219.3978666523</v>
      </c>
      <c r="N255" s="40">
        <f t="shared" si="158"/>
        <v>8.2213487931531021E-2</v>
      </c>
      <c r="O255" s="16">
        <f t="shared" si="159"/>
        <v>7.7815002168341973E-2</v>
      </c>
      <c r="P255" s="18"/>
      <c r="Q255" s="18">
        <f t="shared" si="160"/>
        <v>118309265.65554993</v>
      </c>
    </row>
    <row r="256" spans="1:17" ht="16" x14ac:dyDescent="0.2">
      <c r="A256" s="258"/>
      <c r="B256" s="14"/>
      <c r="C256" s="2"/>
      <c r="D256" s="2"/>
      <c r="E256" s="4"/>
      <c r="F256" s="18"/>
      <c r="G256" s="1"/>
      <c r="H256" s="1"/>
      <c r="I256" s="39"/>
      <c r="J256" s="39"/>
      <c r="K256" s="39"/>
      <c r="L256" s="39"/>
      <c r="M256" s="39"/>
      <c r="N256" s="39"/>
      <c r="O256" s="16"/>
      <c r="P256" s="16"/>
      <c r="Q256" s="16"/>
    </row>
    <row r="257" spans="1:37" x14ac:dyDescent="0.2">
      <c r="A257" s="258"/>
      <c r="B257" s="15" t="s">
        <v>14</v>
      </c>
      <c r="C257" s="30">
        <f>SUM(C244:C255)</f>
        <v>5828520563.8259068</v>
      </c>
      <c r="D257" s="30">
        <f>SUM(D244:D255)</f>
        <v>2556651331.7492199</v>
      </c>
      <c r="E257" s="30">
        <f>SUM(E244:E255)</f>
        <v>1342070507.4985516</v>
      </c>
      <c r="F257" s="30">
        <f>SUM(F244:F255)</f>
        <v>1929798724.578135</v>
      </c>
      <c r="G257" s="11">
        <f>1-H257</f>
        <v>0.76974079566125764</v>
      </c>
      <c r="H257" s="11">
        <f>MAX(0,E257/C257)</f>
        <v>0.23025920433874242</v>
      </c>
      <c r="I257" s="11"/>
      <c r="J257" s="11"/>
      <c r="K257" s="30">
        <f>SUM(K244:K255)</f>
        <v>38595974.10560295</v>
      </c>
      <c r="L257" s="11"/>
      <c r="M257" s="30">
        <f>SUM(M244:M255)</f>
        <v>77191949.369085357</v>
      </c>
      <c r="N257" s="11"/>
      <c r="O257" s="16"/>
      <c r="P257" s="16"/>
      <c r="Q257" s="30">
        <f>SUM(Q244:Q255)</f>
        <v>2045586648.0528233</v>
      </c>
    </row>
    <row r="258" spans="1:37" x14ac:dyDescent="0.2">
      <c r="G258" s="21">
        <f>SUM(G244:G255)</f>
        <v>9.4114105542725603</v>
      </c>
      <c r="H258" s="21">
        <f>SUM(H244:H255)</f>
        <v>2.588589445727441</v>
      </c>
      <c r="I258" s="21"/>
      <c r="J258" s="21"/>
      <c r="K258" s="21"/>
      <c r="L258" s="21"/>
      <c r="M258" s="21"/>
      <c r="N258" s="21"/>
      <c r="O258" s="21"/>
      <c r="P258" s="21"/>
      <c r="Q258" s="21"/>
    </row>
    <row r="261" spans="1:37" ht="48" x14ac:dyDescent="0.2">
      <c r="A261" s="257">
        <v>10</v>
      </c>
      <c r="B261" t="s">
        <v>26</v>
      </c>
      <c r="C261" s="4">
        <f>'Opt 3 - Tier Allocation'!C236</f>
        <v>2045586648.0528231</v>
      </c>
      <c r="D261" s="4"/>
      <c r="F261" s="48" t="s">
        <v>68</v>
      </c>
      <c r="G261" s="47" t="s">
        <v>62</v>
      </c>
      <c r="H261" s="48" t="s">
        <v>55</v>
      </c>
      <c r="I261" s="48" t="s">
        <v>54</v>
      </c>
      <c r="J261" s="48" t="s">
        <v>56</v>
      </c>
    </row>
    <row r="262" spans="1:37" x14ac:dyDescent="0.2">
      <c r="A262" s="257"/>
      <c r="B262" t="s">
        <v>27</v>
      </c>
      <c r="C262" s="6">
        <f>C261*(1+C263)</f>
        <v>2168321846.9359927</v>
      </c>
      <c r="D262" s="6"/>
      <c r="F262" t="s">
        <v>53</v>
      </c>
      <c r="G262" s="7">
        <v>1</v>
      </c>
      <c r="H262" s="4">
        <f>SUMIF(I$270:I$281,G262,E$270:E$281)</f>
        <v>200286118.73579746</v>
      </c>
      <c r="I262" s="1">
        <f>H262/SUM(H$262:H$264)</f>
        <v>0.15122340100421594</v>
      </c>
      <c r="J262" s="6">
        <f>($C$265-$K$283)*I262</f>
        <v>12373622.860562636</v>
      </c>
      <c r="K262" s="1"/>
      <c r="M262" s="6"/>
      <c r="N262" s="6"/>
    </row>
    <row r="263" spans="1:37" x14ac:dyDescent="0.2">
      <c r="A263" s="257"/>
      <c r="B263" t="s">
        <v>28</v>
      </c>
      <c r="C263" s="19">
        <f>$C$3</f>
        <v>0.06</v>
      </c>
      <c r="D263" s="19"/>
      <c r="F263" s="38" t="s">
        <v>69</v>
      </c>
      <c r="G263" s="7">
        <v>2</v>
      </c>
      <c r="H263" s="4">
        <f>SUMIF(I$270:I$281,G263,E$270:E$281)</f>
        <v>1124152542.2503664</v>
      </c>
      <c r="I263" s="1">
        <f>H263/SUM(H$262:H$264)</f>
        <v>0.84877659899578406</v>
      </c>
      <c r="J263" s="6">
        <f>($C$265-$K$283)*I263</f>
        <v>69449843.470667884</v>
      </c>
      <c r="K263" s="1"/>
      <c r="M263" s="6"/>
      <c r="N263" s="6"/>
    </row>
    <row r="264" spans="1:37" x14ac:dyDescent="0.2">
      <c r="A264" s="257"/>
      <c r="B264" t="s">
        <v>16</v>
      </c>
      <c r="C264" s="20">
        <f>$C$4</f>
        <v>0.03</v>
      </c>
      <c r="D264" s="20"/>
      <c r="F264" t="s">
        <v>70</v>
      </c>
      <c r="G264" s="7">
        <v>3</v>
      </c>
      <c r="H264" s="4">
        <f>SUMIF(I$270:I$281,G264,E$270:E$281)</f>
        <v>0</v>
      </c>
      <c r="I264" s="1">
        <f>H264/SUM(H$262:H$264)</f>
        <v>0</v>
      </c>
      <c r="J264" s="6">
        <f>($C$265-$K$283)*I264</f>
        <v>0</v>
      </c>
      <c r="K264" s="1"/>
      <c r="M264" s="6"/>
      <c r="N264" s="6"/>
    </row>
    <row r="265" spans="1:37" x14ac:dyDescent="0.2">
      <c r="A265" s="257"/>
      <c r="B265" t="s">
        <v>31</v>
      </c>
      <c r="C265" s="6">
        <f>C262-C261</f>
        <v>122735198.88316965</v>
      </c>
      <c r="D265" s="6"/>
    </row>
    <row r="266" spans="1:37" x14ac:dyDescent="0.2">
      <c r="A266" s="257"/>
      <c r="B266" t="s">
        <v>59</v>
      </c>
      <c r="C266" s="16">
        <f>$C$7</f>
        <v>0.66666665999999997</v>
      </c>
      <c r="D266" s="16"/>
      <c r="S266" s="14"/>
      <c r="T266" s="2"/>
      <c r="U266" s="31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</row>
    <row r="267" spans="1:37" x14ac:dyDescent="0.2">
      <c r="A267" s="257"/>
      <c r="B267" t="s">
        <v>48</v>
      </c>
      <c r="C267" s="20">
        <f>((1+$C$4)^A261)-1</f>
        <v>0.34391637934412178</v>
      </c>
      <c r="D267" s="16"/>
    </row>
    <row r="268" spans="1:37" x14ac:dyDescent="0.2">
      <c r="A268" s="257"/>
    </row>
    <row r="269" spans="1:37" ht="49" thickBot="1" x14ac:dyDescent="0.25">
      <c r="A269" s="258" t="s">
        <v>51</v>
      </c>
      <c r="B269" s="22" t="s">
        <v>12</v>
      </c>
      <c r="C269" s="13" t="s">
        <v>15</v>
      </c>
      <c r="D269" s="13" t="s">
        <v>63</v>
      </c>
      <c r="E269" s="13" t="s">
        <v>13</v>
      </c>
      <c r="F269" s="13" t="s">
        <v>29</v>
      </c>
      <c r="G269" s="13" t="s">
        <v>50</v>
      </c>
      <c r="H269" s="13" t="s">
        <v>17</v>
      </c>
      <c r="I269" s="13" t="s">
        <v>52</v>
      </c>
      <c r="J269" s="13" t="s">
        <v>59</v>
      </c>
      <c r="K269" s="13" t="s">
        <v>60</v>
      </c>
      <c r="L269" s="13" t="s">
        <v>61</v>
      </c>
      <c r="M269" s="13" t="s">
        <v>58</v>
      </c>
      <c r="N269" s="13" t="s">
        <v>57</v>
      </c>
      <c r="O269" s="28" t="s">
        <v>25</v>
      </c>
      <c r="P269" s="28"/>
      <c r="Q269" s="28" t="s">
        <v>32</v>
      </c>
    </row>
    <row r="270" spans="1:37" ht="17" thickTop="1" x14ac:dyDescent="0.2">
      <c r="A270" s="258"/>
      <c r="B270" s="14" t="s">
        <v>0</v>
      </c>
      <c r="C270" s="2">
        <f t="shared" ref="C270:C281" si="161">VLOOKUP($B270,$B$9:$O$22,2,FALSE)*(1+$C$267)</f>
        <v>99531814.631850421</v>
      </c>
      <c r="D270" s="2">
        <f t="shared" ref="D270:D281" si="162">VLOOKUP($B270,$B$9:$O$22,3,FALSE)*(1+$C$267)</f>
        <v>19560586.557725482</v>
      </c>
      <c r="E270" s="4">
        <f t="shared" ref="E270:E281" si="163">C270-D270-F270</f>
        <v>4168178.5124481469</v>
      </c>
      <c r="F270" s="18">
        <f>'Opt 3 - Tier Allocation'!Q244</f>
        <v>75803049.561676785</v>
      </c>
      <c r="G270" s="1">
        <f t="shared" ref="G270:G281" si="164">1-H270</f>
        <v>0.95812214890419245</v>
      </c>
      <c r="H270" s="1">
        <f t="shared" ref="H270:H281" si="165">MAX(0,E270/C270)</f>
        <v>4.1877851095807508E-2</v>
      </c>
      <c r="I270" s="39">
        <f t="shared" ref="I270:I281" si="166">IF(H270&lt;0.15,1,IF(H270&gt;0.46,3,2))</f>
        <v>1</v>
      </c>
      <c r="J270" s="41">
        <f t="shared" ref="J270:J281" si="167">MIN($C$4,($C$3*0.5))*$C$7</f>
        <v>1.9999999799999998E-2</v>
      </c>
      <c r="K270" s="4">
        <f t="shared" ref="K270:K281" si="168">J270*F270</f>
        <v>1516060.9760729256</v>
      </c>
      <c r="L270" s="40">
        <f t="shared" ref="L270:L281" si="169">H270/SUMIF($I$270:$I$281,I270,$H$270:$H$281)</f>
        <v>0.15352787248960129</v>
      </c>
      <c r="M270" s="39">
        <f t="shared" ref="M270:M281" si="170">L270*VLOOKUP(I270,$G$261:$J$264,4,FALSE)</f>
        <v>1899695.9927708758</v>
      </c>
      <c r="N270" s="40">
        <f t="shared" ref="N270:N281" si="171">M270/SUM($M$270:$M$281)</f>
        <v>2.32170070268191E-2</v>
      </c>
      <c r="O270" s="16">
        <f t="shared" ref="O270:O281" si="172">(K270+M270)/F270</f>
        <v>4.5060943967229011E-2</v>
      </c>
      <c r="P270" s="18"/>
      <c r="Q270" s="18">
        <f t="shared" ref="Q270:Q281" si="173">M270+K270+F270</f>
        <v>79218806.530520588</v>
      </c>
    </row>
    <row r="271" spans="1:37" ht="16" x14ac:dyDescent="0.2">
      <c r="A271" s="258"/>
      <c r="B271" s="14" t="s">
        <v>1</v>
      </c>
      <c r="C271" s="2">
        <f t="shared" si="161"/>
        <v>221701076.46638957</v>
      </c>
      <c r="D271" s="2">
        <f t="shared" si="162"/>
        <v>74228881.397397235</v>
      </c>
      <c r="E271" s="4">
        <f t="shared" si="163"/>
        <v>40178076.204813823</v>
      </c>
      <c r="F271" s="18">
        <f>'Opt 3 - Tier Allocation'!Q245</f>
        <v>107294118.86417849</v>
      </c>
      <c r="G271" s="1">
        <f t="shared" si="164"/>
        <v>0.81877365304130623</v>
      </c>
      <c r="H271" s="1">
        <f t="shared" si="165"/>
        <v>0.1812263469586938</v>
      </c>
      <c r="I271" s="39">
        <f t="shared" si="166"/>
        <v>2</v>
      </c>
      <c r="J271" s="41">
        <f t="shared" si="167"/>
        <v>1.9999999799999998E-2</v>
      </c>
      <c r="K271" s="4">
        <f t="shared" si="168"/>
        <v>2145882.3558247457</v>
      </c>
      <c r="L271" s="40">
        <f t="shared" si="169"/>
        <v>8.5360285888351067E-2</v>
      </c>
      <c r="M271" s="39">
        <f t="shared" si="170"/>
        <v>5928258.493557442</v>
      </c>
      <c r="N271" s="40">
        <f t="shared" si="171"/>
        <v>7.2451813145622407E-2</v>
      </c>
      <c r="O271" s="16">
        <f t="shared" si="172"/>
        <v>7.5252408378534558E-2</v>
      </c>
      <c r="P271" s="18"/>
      <c r="Q271" s="18">
        <f t="shared" si="173"/>
        <v>115368259.71356069</v>
      </c>
    </row>
    <row r="272" spans="1:37" ht="16" x14ac:dyDescent="0.2">
      <c r="A272" s="258"/>
      <c r="B272" s="14" t="s">
        <v>2</v>
      </c>
      <c r="C272" s="2">
        <f t="shared" si="161"/>
        <v>150317635.44885305</v>
      </c>
      <c r="D272" s="2">
        <f t="shared" si="162"/>
        <v>37963200.822215684</v>
      </c>
      <c r="E272" s="4">
        <f t="shared" si="163"/>
        <v>23330732.899347946</v>
      </c>
      <c r="F272" s="18">
        <f>'Opt 3 - Tier Allocation'!Q246</f>
        <v>89023701.727289423</v>
      </c>
      <c r="G272" s="1">
        <f t="shared" si="164"/>
        <v>0.84479044770973366</v>
      </c>
      <c r="H272" s="1">
        <f t="shared" si="165"/>
        <v>0.15520955229026631</v>
      </c>
      <c r="I272" s="39">
        <f t="shared" si="166"/>
        <v>2</v>
      </c>
      <c r="J272" s="41">
        <f t="shared" si="167"/>
        <v>1.9999999799999998E-2</v>
      </c>
      <c r="K272" s="4">
        <f t="shared" si="168"/>
        <v>1780474.0167410478</v>
      </c>
      <c r="L272" s="40">
        <f t="shared" si="169"/>
        <v>7.310599136625448E-2</v>
      </c>
      <c r="M272" s="39">
        <f t="shared" si="170"/>
        <v>5077199.657154371</v>
      </c>
      <c r="N272" s="40">
        <f t="shared" si="171"/>
        <v>6.2050654718064605E-2</v>
      </c>
      <c r="O272" s="16">
        <f t="shared" si="172"/>
        <v>7.7031998679439995E-2</v>
      </c>
      <c r="P272" s="18"/>
      <c r="Q272" s="18">
        <f t="shared" si="173"/>
        <v>95881375.401184842</v>
      </c>
    </row>
    <row r="273" spans="1:17" ht="16" x14ac:dyDescent="0.2">
      <c r="A273" s="258"/>
      <c r="B273" s="14" t="s">
        <v>3</v>
      </c>
      <c r="C273" s="2">
        <f t="shared" si="161"/>
        <v>642119117.70471013</v>
      </c>
      <c r="D273" s="2">
        <f t="shared" si="162"/>
        <v>230388283.39799696</v>
      </c>
      <c r="E273" s="4">
        <f t="shared" si="163"/>
        <v>242043129.43608853</v>
      </c>
      <c r="F273" s="18">
        <f>'Opt 3 - Tier Allocation'!Q247</f>
        <v>169687704.87062463</v>
      </c>
      <c r="G273" s="1">
        <f t="shared" si="164"/>
        <v>0.62305571853819752</v>
      </c>
      <c r="H273" s="1">
        <f t="shared" si="165"/>
        <v>0.37694428146180248</v>
      </c>
      <c r="I273" s="39">
        <f t="shared" si="166"/>
        <v>2</v>
      </c>
      <c r="J273" s="41">
        <f t="shared" si="167"/>
        <v>1.9999999799999998E-2</v>
      </c>
      <c r="K273" s="4">
        <f t="shared" si="168"/>
        <v>3393754.0634749513</v>
      </c>
      <c r="L273" s="40">
        <f t="shared" si="169"/>
        <v>0.17754632353149125</v>
      </c>
      <c r="M273" s="39">
        <f t="shared" si="170"/>
        <v>12330564.378054624</v>
      </c>
      <c r="N273" s="40">
        <f t="shared" si="171"/>
        <v>0.1506971646512642</v>
      </c>
      <c r="O273" s="16">
        <f t="shared" si="172"/>
        <v>9.2666221477379893E-2</v>
      </c>
      <c r="P273" s="18"/>
      <c r="Q273" s="18">
        <f t="shared" si="173"/>
        <v>185412023.3121542</v>
      </c>
    </row>
    <row r="274" spans="1:17" ht="16" x14ac:dyDescent="0.2">
      <c r="A274" s="258"/>
      <c r="B274" s="14" t="s">
        <v>4</v>
      </c>
      <c r="C274" s="2">
        <f t="shared" si="161"/>
        <v>220708243.40120199</v>
      </c>
      <c r="D274" s="2">
        <f t="shared" si="162"/>
        <v>41639611.906602584</v>
      </c>
      <c r="E274" s="4">
        <f t="shared" si="163"/>
        <v>59145428.644634798</v>
      </c>
      <c r="F274" s="18">
        <f>'Opt 3 - Tier Allocation'!Q248</f>
        <v>119923202.8499646</v>
      </c>
      <c r="G274" s="1">
        <f t="shared" si="164"/>
        <v>0.73201984786258922</v>
      </c>
      <c r="H274" s="1">
        <f t="shared" si="165"/>
        <v>0.26798015213741078</v>
      </c>
      <c r="I274" s="39">
        <f t="shared" si="166"/>
        <v>2</v>
      </c>
      <c r="J274" s="41">
        <f t="shared" si="167"/>
        <v>1.9999999799999998E-2</v>
      </c>
      <c r="K274" s="4">
        <f t="shared" si="168"/>
        <v>2398464.0330146514</v>
      </c>
      <c r="L274" s="40">
        <f t="shared" si="169"/>
        <v>0.12622260936522092</v>
      </c>
      <c r="M274" s="39">
        <f t="shared" si="170"/>
        <v>8766140.4628738519</v>
      </c>
      <c r="N274" s="40">
        <f t="shared" si="171"/>
        <v>0.10713479709338558</v>
      </c>
      <c r="O274" s="16">
        <f t="shared" si="172"/>
        <v>9.3097951276839161E-2</v>
      </c>
      <c r="P274" s="18"/>
      <c r="Q274" s="18">
        <f t="shared" si="173"/>
        <v>131087807.34585311</v>
      </c>
    </row>
    <row r="275" spans="1:17" ht="16" x14ac:dyDescent="0.2">
      <c r="A275" s="258"/>
      <c r="B275" s="14" t="s">
        <v>5</v>
      </c>
      <c r="C275" s="2">
        <f t="shared" si="161"/>
        <v>548267658.05560088</v>
      </c>
      <c r="D275" s="2">
        <f t="shared" si="162"/>
        <v>173981860.5937553</v>
      </c>
      <c r="E275" s="4">
        <f t="shared" si="163"/>
        <v>186840304.83839408</v>
      </c>
      <c r="F275" s="18">
        <f>'Opt 3 - Tier Allocation'!Q249</f>
        <v>187445492.6234515</v>
      </c>
      <c r="G275" s="1">
        <f t="shared" si="164"/>
        <v>0.65921698627817604</v>
      </c>
      <c r="H275" s="1">
        <f t="shared" si="165"/>
        <v>0.3407830137218239</v>
      </c>
      <c r="I275" s="39">
        <f t="shared" si="166"/>
        <v>2</v>
      </c>
      <c r="J275" s="41">
        <f t="shared" si="167"/>
        <v>1.9999999799999998E-2</v>
      </c>
      <c r="K275" s="4">
        <f t="shared" si="168"/>
        <v>3748909.8149799309</v>
      </c>
      <c r="L275" s="40">
        <f t="shared" si="169"/>
        <v>0.16051383237239214</v>
      </c>
      <c r="M275" s="39">
        <f t="shared" si="170"/>
        <v>11147660.533139657</v>
      </c>
      <c r="N275" s="40">
        <f t="shared" si="171"/>
        <v>0.13624038473281833</v>
      </c>
      <c r="O275" s="16">
        <f t="shared" si="172"/>
        <v>7.9471478026118522E-2</v>
      </c>
      <c r="P275" s="18"/>
      <c r="Q275" s="18">
        <f t="shared" si="173"/>
        <v>202342062.97157109</v>
      </c>
    </row>
    <row r="276" spans="1:17" ht="16" x14ac:dyDescent="0.2">
      <c r="A276" s="258"/>
      <c r="B276" s="14" t="s">
        <v>6</v>
      </c>
      <c r="C276" s="2">
        <f t="shared" si="161"/>
        <v>396932878.72056079</v>
      </c>
      <c r="D276" s="2">
        <f t="shared" si="162"/>
        <v>173286453.53662568</v>
      </c>
      <c r="E276" s="4">
        <f t="shared" si="163"/>
        <v>30194216.358704805</v>
      </c>
      <c r="F276" s="18">
        <f>'Opt 3 - Tier Allocation'!Q250</f>
        <v>193452208.8252303</v>
      </c>
      <c r="G276" s="1">
        <f t="shared" si="164"/>
        <v>0.92393117834927097</v>
      </c>
      <c r="H276" s="1">
        <f t="shared" si="165"/>
        <v>7.6068821650729063E-2</v>
      </c>
      <c r="I276" s="39">
        <f t="shared" si="166"/>
        <v>1</v>
      </c>
      <c r="J276" s="41">
        <f t="shared" si="167"/>
        <v>1.9999999799999998E-2</v>
      </c>
      <c r="K276" s="4">
        <f t="shared" si="168"/>
        <v>3869044.1378141637</v>
      </c>
      <c r="L276" s="40">
        <f t="shared" si="169"/>
        <v>0.27887496720185184</v>
      </c>
      <c r="M276" s="39">
        <f t="shared" si="170"/>
        <v>3450693.6694074892</v>
      </c>
      <c r="N276" s="40">
        <f t="shared" si="171"/>
        <v>4.21724209952032E-2</v>
      </c>
      <c r="O276" s="16">
        <f t="shared" si="172"/>
        <v>3.7837447562227074E-2</v>
      </c>
      <c r="P276" s="18"/>
      <c r="Q276" s="18">
        <f t="shared" si="173"/>
        <v>200771946.63245195</v>
      </c>
    </row>
    <row r="277" spans="1:17" ht="16" x14ac:dyDescent="0.2">
      <c r="A277" s="258"/>
      <c r="B277" s="14" t="s">
        <v>7</v>
      </c>
      <c r="C277" s="2">
        <f t="shared" si="161"/>
        <v>441949971.18407816</v>
      </c>
      <c r="D277" s="2">
        <f t="shared" si="162"/>
        <v>177434210.55847779</v>
      </c>
      <c r="E277" s="4">
        <f t="shared" si="163"/>
        <v>121603017.19930118</v>
      </c>
      <c r="F277" s="18">
        <f>'Opt 3 - Tier Allocation'!Q251</f>
        <v>142912743.42629918</v>
      </c>
      <c r="G277" s="1">
        <f t="shared" si="164"/>
        <v>0.72484890795783796</v>
      </c>
      <c r="H277" s="1">
        <f t="shared" si="165"/>
        <v>0.27515109204216209</v>
      </c>
      <c r="I277" s="39">
        <f t="shared" si="166"/>
        <v>2</v>
      </c>
      <c r="J277" s="41">
        <f t="shared" si="167"/>
        <v>1.9999999799999998E-2</v>
      </c>
      <c r="K277" s="4">
        <f t="shared" si="168"/>
        <v>2858254.8399434346</v>
      </c>
      <c r="L277" s="40">
        <f t="shared" si="169"/>
        <v>0.1296002279655521</v>
      </c>
      <c r="M277" s="39">
        <f t="shared" si="170"/>
        <v>9000715.5459704679</v>
      </c>
      <c r="N277" s="40">
        <f t="shared" si="171"/>
        <v>0.11000164072167957</v>
      </c>
      <c r="O277" s="16">
        <f t="shared" si="172"/>
        <v>8.2980496361611256E-2</v>
      </c>
      <c r="P277" s="18"/>
      <c r="Q277" s="18">
        <f t="shared" si="173"/>
        <v>154771713.81221309</v>
      </c>
    </row>
    <row r="278" spans="1:17" ht="16" x14ac:dyDescent="0.2">
      <c r="A278" s="258"/>
      <c r="B278" s="14" t="s">
        <v>8</v>
      </c>
      <c r="C278" s="2">
        <f t="shared" si="161"/>
        <v>1223618847.8469615</v>
      </c>
      <c r="D278" s="2">
        <f t="shared" si="162"/>
        <v>451451113.51724654</v>
      </c>
      <c r="E278" s="4">
        <f t="shared" si="163"/>
        <v>398451315.57071126</v>
      </c>
      <c r="F278" s="18">
        <f>'Opt 3 - Tier Allocation'!Q252</f>
        <v>373716418.75900376</v>
      </c>
      <c r="G278" s="1">
        <f t="shared" si="164"/>
        <v>0.67436647754175016</v>
      </c>
      <c r="H278" s="1">
        <f t="shared" si="165"/>
        <v>0.32563352245824978</v>
      </c>
      <c r="I278" s="39">
        <f t="shared" si="166"/>
        <v>2</v>
      </c>
      <c r="J278" s="41">
        <f t="shared" si="167"/>
        <v>1.9999999799999998E-2</v>
      </c>
      <c r="K278" s="4">
        <f t="shared" si="168"/>
        <v>7474328.300436791</v>
      </c>
      <c r="L278" s="40">
        <f t="shared" si="169"/>
        <v>0.15337819824952087</v>
      </c>
      <c r="M278" s="39">
        <f t="shared" si="170"/>
        <v>10652091.86024229</v>
      </c>
      <c r="N278" s="40">
        <f t="shared" si="171"/>
        <v>0.13018382547032939</v>
      </c>
      <c r="O278" s="16">
        <f t="shared" si="172"/>
        <v>4.8503141020325775E-2</v>
      </c>
      <c r="P278" s="18"/>
      <c r="Q278" s="18">
        <f t="shared" si="173"/>
        <v>391842838.91968286</v>
      </c>
    </row>
    <row r="279" spans="1:17" ht="16" x14ac:dyDescent="0.2">
      <c r="A279" s="258"/>
      <c r="B279" s="14" t="s">
        <v>9</v>
      </c>
      <c r="C279" s="2">
        <f t="shared" si="161"/>
        <v>124588327.82328381</v>
      </c>
      <c r="D279" s="2">
        <f t="shared" si="162"/>
        <v>53713713.299490884</v>
      </c>
      <c r="E279" s="4">
        <f t="shared" si="163"/>
        <v>7475699.2038917467</v>
      </c>
      <c r="F279" s="18">
        <f>'Opt 3 - Tier Allocation'!Q253</f>
        <v>63398915.319901176</v>
      </c>
      <c r="G279" s="1">
        <f t="shared" si="164"/>
        <v>0.93999679316271678</v>
      </c>
      <c r="H279" s="1">
        <f t="shared" si="165"/>
        <v>6.0003206837283225E-2</v>
      </c>
      <c r="I279" s="39">
        <f t="shared" si="166"/>
        <v>1</v>
      </c>
      <c r="J279" s="41">
        <f t="shared" si="167"/>
        <v>1.9999999799999998E-2</v>
      </c>
      <c r="K279" s="4">
        <f t="shared" si="168"/>
        <v>1267978.2937182402</v>
      </c>
      <c r="L279" s="40">
        <f t="shared" si="169"/>
        <v>0.2199770152295098</v>
      </c>
      <c r="M279" s="39">
        <f t="shared" si="170"/>
        <v>2721912.6244421974</v>
      </c>
      <c r="N279" s="40">
        <f t="shared" si="171"/>
        <v>3.3265672385762668E-2</v>
      </c>
      <c r="O279" s="16">
        <f t="shared" si="172"/>
        <v>6.2933110101774797E-2</v>
      </c>
      <c r="P279" s="18"/>
      <c r="Q279" s="18">
        <f t="shared" si="173"/>
        <v>67388806.238061607</v>
      </c>
    </row>
    <row r="280" spans="1:17" ht="16" x14ac:dyDescent="0.2">
      <c r="A280" s="258"/>
      <c r="B280" s="14" t="s">
        <v>10</v>
      </c>
      <c r="C280" s="2">
        <f t="shared" si="161"/>
        <v>1671031882.8225193</v>
      </c>
      <c r="D280" s="2">
        <f t="shared" si="162"/>
        <v>1107964032.592113</v>
      </c>
      <c r="E280" s="4">
        <f t="shared" si="163"/>
        <v>158448024.66075277</v>
      </c>
      <c r="F280" s="18">
        <f>'Opt 3 - Tier Allocation'!Q254</f>
        <v>404619825.56965351</v>
      </c>
      <c r="G280" s="1">
        <f t="shared" si="164"/>
        <v>0.9051795323060382</v>
      </c>
      <c r="H280" s="1">
        <f t="shared" si="165"/>
        <v>9.4820467693961755E-2</v>
      </c>
      <c r="I280" s="39">
        <f t="shared" si="166"/>
        <v>1</v>
      </c>
      <c r="J280" s="41">
        <f t="shared" si="167"/>
        <v>1.9999999799999998E-2</v>
      </c>
      <c r="K280" s="4">
        <f t="shared" si="168"/>
        <v>8092396.4304691041</v>
      </c>
      <c r="L280" s="40">
        <f t="shared" si="169"/>
        <v>0.3476201450790371</v>
      </c>
      <c r="M280" s="39">
        <f t="shared" si="170"/>
        <v>4301320.5739420736</v>
      </c>
      <c r="N280" s="40">
        <f t="shared" si="171"/>
        <v>5.2568300596430938E-2</v>
      </c>
      <c r="O280" s="16">
        <f t="shared" si="172"/>
        <v>3.0630523323869247E-2</v>
      </c>
      <c r="P280" s="18"/>
      <c r="Q280" s="18">
        <f t="shared" si="173"/>
        <v>417013542.57406467</v>
      </c>
    </row>
    <row r="281" spans="1:17" ht="16" x14ac:dyDescent="0.2">
      <c r="A281" s="258"/>
      <c r="B281" s="14" t="s">
        <v>11</v>
      </c>
      <c r="C281" s="2">
        <f t="shared" si="161"/>
        <v>262608726.63467374</v>
      </c>
      <c r="D281" s="2">
        <f t="shared" si="162"/>
        <v>91738923.522049159</v>
      </c>
      <c r="E281" s="4">
        <f t="shared" si="163"/>
        <v>52560537.457074657</v>
      </c>
      <c r="F281" s="18">
        <f>'Opt 3 - Tier Allocation'!Q255</f>
        <v>118309265.65554993</v>
      </c>
      <c r="G281" s="1">
        <f t="shared" si="164"/>
        <v>0.79985228164106714</v>
      </c>
      <c r="H281" s="1">
        <f t="shared" si="165"/>
        <v>0.2001477183589328</v>
      </c>
      <c r="I281" s="39">
        <f t="shared" si="166"/>
        <v>2</v>
      </c>
      <c r="J281" s="41">
        <f t="shared" si="167"/>
        <v>1.9999999799999998E-2</v>
      </c>
      <c r="K281" s="4">
        <f t="shared" si="168"/>
        <v>2366185.2894491451</v>
      </c>
      <c r="L281" s="40">
        <f t="shared" si="169"/>
        <v>9.4272531261217318E-2</v>
      </c>
      <c r="M281" s="39">
        <f t="shared" si="170"/>
        <v>6547212.5396751873</v>
      </c>
      <c r="N281" s="40">
        <f t="shared" si="171"/>
        <v>8.0016318462619737E-2</v>
      </c>
      <c r="O281" s="16">
        <f t="shared" si="172"/>
        <v>7.5339811972759047E-2</v>
      </c>
      <c r="P281" s="18"/>
      <c r="Q281" s="18">
        <f t="shared" si="173"/>
        <v>127222663.48467426</v>
      </c>
    </row>
    <row r="282" spans="1:17" ht="16" x14ac:dyDescent="0.2">
      <c r="A282" s="258"/>
      <c r="B282" s="14"/>
      <c r="C282" s="2"/>
      <c r="D282" s="2"/>
      <c r="E282" s="4"/>
      <c r="F282" s="18"/>
      <c r="G282" s="1"/>
      <c r="H282" s="1"/>
      <c r="I282" s="39"/>
      <c r="J282" s="39"/>
      <c r="K282" s="39"/>
      <c r="L282" s="39"/>
      <c r="M282" s="39"/>
      <c r="N282" s="39"/>
      <c r="O282" s="16"/>
      <c r="P282" s="16"/>
      <c r="Q282" s="16"/>
    </row>
    <row r="283" spans="1:17" x14ac:dyDescent="0.2">
      <c r="A283" s="258"/>
      <c r="B283" s="15" t="s">
        <v>14</v>
      </c>
      <c r="C283" s="30">
        <f>SUM(C270:C281)</f>
        <v>6003376180.7406836</v>
      </c>
      <c r="D283" s="30">
        <f>SUM(D270:D281)</f>
        <v>2633350871.7016964</v>
      </c>
      <c r="E283" s="30">
        <f>SUM(E270:E281)</f>
        <v>1324438660.9861636</v>
      </c>
      <c r="F283" s="30">
        <f>SUM(F270:F281)</f>
        <v>2045586648.0528233</v>
      </c>
      <c r="G283" s="11">
        <f>1-H283</f>
        <v>0.77938436287982915</v>
      </c>
      <c r="H283" s="11">
        <f>MAX(0,E283/C283)</f>
        <v>0.22061563712017082</v>
      </c>
      <c r="I283" s="11"/>
      <c r="J283" s="11"/>
      <c r="K283" s="30">
        <f>SUM(K270:K281)</f>
        <v>40911732.551939137</v>
      </c>
      <c r="L283" s="11"/>
      <c r="M283" s="30">
        <f>SUM(M270:M281)</f>
        <v>81823466.331230551</v>
      </c>
      <c r="N283" s="11"/>
      <c r="O283" s="16"/>
      <c r="P283" s="16"/>
      <c r="Q283" s="30">
        <f>SUM(Q270:Q281)</f>
        <v>2168321846.9359932</v>
      </c>
    </row>
    <row r="284" spans="1:17" x14ac:dyDescent="0.2">
      <c r="G284" s="21">
        <f>SUM(G270:G281)</f>
        <v>9.6041539732928776</v>
      </c>
      <c r="H284" s="21">
        <f>SUM(H270:H281)</f>
        <v>2.3958460267071233</v>
      </c>
      <c r="I284" s="21"/>
      <c r="J284" s="21"/>
      <c r="K284" s="21"/>
      <c r="L284" s="21"/>
      <c r="M284" s="21"/>
      <c r="N284" s="21"/>
      <c r="O284" s="21"/>
      <c r="P284" s="21"/>
      <c r="Q284" s="21"/>
    </row>
    <row r="287" spans="1:17" ht="48" x14ac:dyDescent="0.2">
      <c r="A287" s="257">
        <v>11</v>
      </c>
      <c r="B287" t="s">
        <v>26</v>
      </c>
      <c r="C287" s="4">
        <f>'Opt 3 - Tier Allocation'!C262</f>
        <v>2168321846.9359927</v>
      </c>
      <c r="D287" s="4"/>
      <c r="F287" s="48" t="s">
        <v>68</v>
      </c>
      <c r="G287" s="47" t="s">
        <v>62</v>
      </c>
      <c r="H287" s="48" t="s">
        <v>55</v>
      </c>
      <c r="I287" s="48" t="s">
        <v>54</v>
      </c>
      <c r="J287" s="48" t="s">
        <v>56</v>
      </c>
    </row>
    <row r="288" spans="1:17" x14ac:dyDescent="0.2">
      <c r="A288" s="257"/>
      <c r="B288" t="s">
        <v>27</v>
      </c>
      <c r="C288" s="6">
        <f>C287*(1+C289)</f>
        <v>2298421157.7521524</v>
      </c>
      <c r="D288" s="6"/>
      <c r="F288" t="s">
        <v>53</v>
      </c>
      <c r="G288" s="7">
        <v>1</v>
      </c>
      <c r="H288" s="4">
        <f>SUMIF(I$296:I$307,G288,E$296:E$307)</f>
        <v>221137511.84177992</v>
      </c>
      <c r="I288" s="1">
        <f>H288/SUM(H$288:H$290)</f>
        <v>0.16973963410137699</v>
      </c>
      <c r="J288" s="6">
        <f>($C$291-$K$309)*I288</f>
        <v>14722006.350127554</v>
      </c>
      <c r="K288" s="1"/>
      <c r="M288" s="6"/>
      <c r="N288" s="6"/>
    </row>
    <row r="289" spans="1:37" x14ac:dyDescent="0.2">
      <c r="A289" s="257"/>
      <c r="B289" t="s">
        <v>28</v>
      </c>
      <c r="C289" s="19">
        <f>$C$3</f>
        <v>0.06</v>
      </c>
      <c r="D289" s="19"/>
      <c r="F289" s="38" t="s">
        <v>69</v>
      </c>
      <c r="G289" s="7">
        <v>2</v>
      </c>
      <c r="H289" s="4">
        <f>SUMIF(I$296:I$307,G289,E$296:E$307)</f>
        <v>1081666709.5323839</v>
      </c>
      <c r="I289" s="1">
        <f>H289/SUM(H$288:H$290)</f>
        <v>0.83026036589862295</v>
      </c>
      <c r="J289" s="6">
        <f>($C$291-$K$309)*I289</f>
        <v>72010867.960976675</v>
      </c>
      <c r="K289" s="1"/>
      <c r="M289" s="6"/>
      <c r="N289" s="6"/>
    </row>
    <row r="290" spans="1:37" x14ac:dyDescent="0.2">
      <c r="A290" s="257"/>
      <c r="B290" t="s">
        <v>16</v>
      </c>
      <c r="C290" s="20">
        <f>$C$4</f>
        <v>0.03</v>
      </c>
      <c r="D290" s="20"/>
      <c r="F290" t="s">
        <v>70</v>
      </c>
      <c r="G290" s="7">
        <v>3</v>
      </c>
      <c r="H290" s="4">
        <f>SUMIF(I$296:I$307,G290,E$296:E$307)</f>
        <v>0</v>
      </c>
      <c r="I290" s="1">
        <f>H290/SUM(H$288:H$290)</f>
        <v>0</v>
      </c>
      <c r="J290" s="6">
        <f>($C$291-$K$309)*I290</f>
        <v>0</v>
      </c>
      <c r="K290" s="1"/>
      <c r="M290" s="6"/>
      <c r="N290" s="6"/>
    </row>
    <row r="291" spans="1:37" x14ac:dyDescent="0.2">
      <c r="A291" s="257"/>
      <c r="B291" t="s">
        <v>31</v>
      </c>
      <c r="C291" s="6">
        <f>C288-C287</f>
        <v>130099310.81615973</v>
      </c>
      <c r="D291" s="6"/>
    </row>
    <row r="292" spans="1:37" x14ac:dyDescent="0.2">
      <c r="A292" s="257"/>
      <c r="B292" t="s">
        <v>59</v>
      </c>
      <c r="C292" s="16">
        <f>$C$7</f>
        <v>0.66666665999999997</v>
      </c>
      <c r="D292" s="16"/>
      <c r="S292" s="14"/>
      <c r="T292" s="2"/>
      <c r="U292" s="31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</row>
    <row r="293" spans="1:37" x14ac:dyDescent="0.2">
      <c r="A293" s="257"/>
      <c r="B293" t="s">
        <v>48</v>
      </c>
      <c r="C293" s="20">
        <f>((1+$C$4)^A287)-1</f>
        <v>0.38423387072444548</v>
      </c>
      <c r="D293" s="16"/>
    </row>
    <row r="294" spans="1:37" x14ac:dyDescent="0.2">
      <c r="A294" s="257"/>
    </row>
    <row r="295" spans="1:37" ht="49" thickBot="1" x14ac:dyDescent="0.25">
      <c r="A295" s="258" t="s">
        <v>51</v>
      </c>
      <c r="B295" s="22" t="s">
        <v>12</v>
      </c>
      <c r="C295" s="13" t="s">
        <v>15</v>
      </c>
      <c r="D295" s="13" t="s">
        <v>63</v>
      </c>
      <c r="E295" s="13" t="s">
        <v>13</v>
      </c>
      <c r="F295" s="13" t="s">
        <v>29</v>
      </c>
      <c r="G295" s="13" t="s">
        <v>50</v>
      </c>
      <c r="H295" s="13" t="s">
        <v>17</v>
      </c>
      <c r="I295" s="13" t="s">
        <v>52</v>
      </c>
      <c r="J295" s="13" t="s">
        <v>59</v>
      </c>
      <c r="K295" s="13" t="s">
        <v>60</v>
      </c>
      <c r="L295" s="13" t="s">
        <v>61</v>
      </c>
      <c r="M295" s="13" t="s">
        <v>58</v>
      </c>
      <c r="N295" s="13" t="s">
        <v>57</v>
      </c>
      <c r="O295" s="28" t="s">
        <v>25</v>
      </c>
      <c r="P295" s="28"/>
      <c r="Q295" s="28" t="s">
        <v>32</v>
      </c>
    </row>
    <row r="296" spans="1:37" ht="17" thickTop="1" x14ac:dyDescent="0.2">
      <c r="A296" s="258"/>
      <c r="B296" s="14" t="s">
        <v>0</v>
      </c>
      <c r="C296" s="2">
        <f t="shared" ref="C296:C307" si="174">VLOOKUP($B296,$B$9:$O$22,2,FALSE)*(1+$C$293)</f>
        <v>102517769.07080594</v>
      </c>
      <c r="D296" s="2">
        <f t="shared" ref="D296:D307" si="175">VLOOKUP($B296,$B$9:$O$22,3,FALSE)*(1+$C$293)</f>
        <v>20147404.154457245</v>
      </c>
      <c r="E296" s="4">
        <f t="shared" ref="E296:E307" si="176">C296-D296-F296</f>
        <v>3151558.3858281076</v>
      </c>
      <c r="F296" s="18">
        <f>'Opt 3 - Tier Allocation'!Q270</f>
        <v>79218806.530520588</v>
      </c>
      <c r="G296" s="1">
        <f t="shared" ref="G296:G307" si="177">1-H296</f>
        <v>0.96925841818064318</v>
      </c>
      <c r="H296" s="1">
        <f t="shared" ref="H296:H307" si="178">MAX(0,E296/C296)</f>
        <v>3.0741581819356809E-2</v>
      </c>
      <c r="I296" s="39">
        <f t="shared" ref="I296:I307" si="179">IF(H296&lt;0.15,1,IF(H296&gt;0.46,3,2))</f>
        <v>1</v>
      </c>
      <c r="J296" s="41">
        <f t="shared" ref="J296:J307" si="180">MIN($C$4,($C$3*0.5))*$C$7</f>
        <v>1.9999999799999998E-2</v>
      </c>
      <c r="K296" s="4">
        <f t="shared" ref="K296:K307" si="181">J296*F296</f>
        <v>1584376.1147666504</v>
      </c>
      <c r="L296" s="40">
        <f t="shared" ref="L296:L307" si="182">H296/SUMIF($I$296:$I$307,I296,$H$296:$H$307)</f>
        <v>8.3158702880600718E-2</v>
      </c>
      <c r="M296" s="39">
        <f t="shared" ref="M296:M307" si="183">L296*VLOOKUP(I296,$G$287:$J$290,4,FALSE)</f>
        <v>1224262.9518765742</v>
      </c>
      <c r="N296" s="40">
        <f t="shared" ref="N296:N307" si="184">M296/SUM($M$296:$M$307)</f>
        <v>1.4115327799298293E-2</v>
      </c>
      <c r="O296" s="16">
        <f t="shared" ref="O296:O307" si="185">(K296+M296)/F296</f>
        <v>3.5454195659475655E-2</v>
      </c>
      <c r="P296" s="18"/>
      <c r="Q296" s="18">
        <f t="shared" ref="Q296:Q307" si="186">M296+K296+F296</f>
        <v>82027445.597163811</v>
      </c>
    </row>
    <row r="297" spans="1:37" ht="16" x14ac:dyDescent="0.2">
      <c r="A297" s="258"/>
      <c r="B297" s="14" t="s">
        <v>1</v>
      </c>
      <c r="C297" s="2">
        <f t="shared" si="174"/>
        <v>228352108.76038125</v>
      </c>
      <c r="D297" s="2">
        <f t="shared" si="175"/>
        <v>76455747.83931917</v>
      </c>
      <c r="E297" s="4">
        <f t="shared" si="176"/>
        <v>36528101.207501397</v>
      </c>
      <c r="F297" s="18">
        <f>'Opt 3 - Tier Allocation'!Q271</f>
        <v>115368259.71356069</v>
      </c>
      <c r="G297" s="1">
        <f t="shared" si="177"/>
        <v>0.84003606795752539</v>
      </c>
      <c r="H297" s="1">
        <f t="shared" si="178"/>
        <v>0.15996393204247461</v>
      </c>
      <c r="I297" s="39">
        <f t="shared" si="179"/>
        <v>2</v>
      </c>
      <c r="J297" s="41">
        <f t="shared" si="180"/>
        <v>1.9999999799999998E-2</v>
      </c>
      <c r="K297" s="4">
        <f t="shared" si="181"/>
        <v>2307365.1711975615</v>
      </c>
      <c r="L297" s="40">
        <f t="shared" si="182"/>
        <v>8.6990463050088007E-2</v>
      </c>
      <c r="M297" s="39">
        <f t="shared" si="183"/>
        <v>6264258.7485641073</v>
      </c>
      <c r="N297" s="40">
        <f t="shared" si="184"/>
        <v>7.2224733681656716E-2</v>
      </c>
      <c r="O297" s="16">
        <f t="shared" si="185"/>
        <v>7.4297938974233632E-2</v>
      </c>
      <c r="P297" s="18"/>
      <c r="Q297" s="18">
        <f t="shared" si="186"/>
        <v>123939883.63332236</v>
      </c>
    </row>
    <row r="298" spans="1:37" ht="16" x14ac:dyDescent="0.2">
      <c r="A298" s="258"/>
      <c r="B298" s="14" t="s">
        <v>2</v>
      </c>
      <c r="C298" s="2">
        <f t="shared" si="174"/>
        <v>154827164.51231864</v>
      </c>
      <c r="D298" s="2">
        <f t="shared" si="175"/>
        <v>39102096.846882157</v>
      </c>
      <c r="E298" s="4">
        <f t="shared" si="176"/>
        <v>19843692.264251634</v>
      </c>
      <c r="F298" s="18">
        <f>'Opt 3 - Tier Allocation'!Q272</f>
        <v>95881375.401184842</v>
      </c>
      <c r="G298" s="1">
        <f t="shared" si="177"/>
        <v>0.87183326435799446</v>
      </c>
      <c r="H298" s="1">
        <f t="shared" si="178"/>
        <v>0.12816673564200548</v>
      </c>
      <c r="I298" s="39">
        <f t="shared" si="179"/>
        <v>1</v>
      </c>
      <c r="J298" s="41">
        <f t="shared" si="180"/>
        <v>1.9999999799999998E-2</v>
      </c>
      <c r="K298" s="4">
        <f t="shared" si="181"/>
        <v>1917627.4888474215</v>
      </c>
      <c r="L298" s="40">
        <f t="shared" si="182"/>
        <v>0.3467023769648373</v>
      </c>
      <c r="M298" s="39">
        <f t="shared" si="183"/>
        <v>5104154.5952806519</v>
      </c>
      <c r="N298" s="40">
        <f t="shared" si="184"/>
        <v>5.8849134608089174E-2</v>
      </c>
      <c r="O298" s="16">
        <f t="shared" si="185"/>
        <v>7.3234056715891699E-2</v>
      </c>
      <c r="P298" s="18"/>
      <c r="Q298" s="18">
        <f t="shared" si="186"/>
        <v>102903157.48531291</v>
      </c>
    </row>
    <row r="299" spans="1:37" ht="16" x14ac:dyDescent="0.2">
      <c r="A299" s="258"/>
      <c r="B299" s="14" t="s">
        <v>3</v>
      </c>
      <c r="C299" s="2">
        <f t="shared" si="174"/>
        <v>661382691.23585153</v>
      </c>
      <c r="D299" s="2">
        <f t="shared" si="175"/>
        <v>237299931.89993688</v>
      </c>
      <c r="E299" s="4">
        <f t="shared" si="176"/>
        <v>238670736.02376041</v>
      </c>
      <c r="F299" s="18">
        <f>'Opt 3 - Tier Allocation'!Q273</f>
        <v>185412023.3121542</v>
      </c>
      <c r="G299" s="1">
        <f t="shared" si="177"/>
        <v>0.6391336828337868</v>
      </c>
      <c r="H299" s="1">
        <f t="shared" si="178"/>
        <v>0.36086631716621315</v>
      </c>
      <c r="I299" s="39">
        <f t="shared" si="179"/>
        <v>2</v>
      </c>
      <c r="J299" s="41">
        <f t="shared" si="180"/>
        <v>1.9999999799999998E-2</v>
      </c>
      <c r="K299" s="4">
        <f t="shared" si="181"/>
        <v>3708240.4291606792</v>
      </c>
      <c r="L299" s="40">
        <f t="shared" si="182"/>
        <v>0.19624378838808129</v>
      </c>
      <c r="M299" s="39">
        <f t="shared" si="183"/>
        <v>14131685.53377597</v>
      </c>
      <c r="N299" s="40">
        <f t="shared" si="184"/>
        <v>0.16293343955242034</v>
      </c>
      <c r="O299" s="16">
        <f t="shared" si="185"/>
        <v>9.6217740598741427E-2</v>
      </c>
      <c r="P299" s="18"/>
      <c r="Q299" s="18">
        <f t="shared" si="186"/>
        <v>203251949.27509084</v>
      </c>
    </row>
    <row r="300" spans="1:37" ht="16" x14ac:dyDescent="0.2">
      <c r="A300" s="258"/>
      <c r="B300" s="14" t="s">
        <v>4</v>
      </c>
      <c r="C300" s="2">
        <f t="shared" si="174"/>
        <v>227329490.70323807</v>
      </c>
      <c r="D300" s="2">
        <f t="shared" si="175"/>
        <v>42888800.263800658</v>
      </c>
      <c r="E300" s="4">
        <f t="shared" si="176"/>
        <v>53352883.093584314</v>
      </c>
      <c r="F300" s="18">
        <f>'Opt 3 - Tier Allocation'!Q274</f>
        <v>131087807.34585311</v>
      </c>
      <c r="G300" s="1">
        <f t="shared" si="177"/>
        <v>0.76530593136623626</v>
      </c>
      <c r="H300" s="1">
        <f t="shared" si="178"/>
        <v>0.23469406863376374</v>
      </c>
      <c r="I300" s="39">
        <f t="shared" si="179"/>
        <v>2</v>
      </c>
      <c r="J300" s="41">
        <f t="shared" si="180"/>
        <v>1.9999999799999998E-2</v>
      </c>
      <c r="K300" s="4">
        <f t="shared" si="181"/>
        <v>2621756.1206995002</v>
      </c>
      <c r="L300" s="40">
        <f t="shared" si="182"/>
        <v>0.12762968154683282</v>
      </c>
      <c r="M300" s="39">
        <f t="shared" si="183"/>
        <v>9190724.145770479</v>
      </c>
      <c r="N300" s="40">
        <f t="shared" si="184"/>
        <v>0.10596586610059815</v>
      </c>
      <c r="O300" s="16">
        <f t="shared" si="185"/>
        <v>9.0111204891121108E-2</v>
      </c>
      <c r="P300" s="18"/>
      <c r="Q300" s="18">
        <f t="shared" si="186"/>
        <v>142900287.61232308</v>
      </c>
    </row>
    <row r="301" spans="1:37" ht="16" x14ac:dyDescent="0.2">
      <c r="A301" s="258"/>
      <c r="B301" s="14" t="s">
        <v>5</v>
      </c>
      <c r="C301" s="2">
        <f t="shared" si="174"/>
        <v>564715687.79726887</v>
      </c>
      <c r="D301" s="2">
        <f t="shared" si="175"/>
        <v>179201316.41156796</v>
      </c>
      <c r="E301" s="4">
        <f t="shared" si="176"/>
        <v>183172308.41412985</v>
      </c>
      <c r="F301" s="18">
        <f>'Opt 3 - Tier Allocation'!Q275</f>
        <v>202342062.97157109</v>
      </c>
      <c r="G301" s="1">
        <f t="shared" si="177"/>
        <v>0.67563800267597995</v>
      </c>
      <c r="H301" s="1">
        <f t="shared" si="178"/>
        <v>0.32436199732402005</v>
      </c>
      <c r="I301" s="39">
        <f t="shared" si="179"/>
        <v>2</v>
      </c>
      <c r="J301" s="41">
        <f t="shared" si="180"/>
        <v>1.9999999799999998E-2</v>
      </c>
      <c r="K301" s="4">
        <f t="shared" si="181"/>
        <v>4046841.2189630088</v>
      </c>
      <c r="L301" s="40">
        <f t="shared" si="182"/>
        <v>0.17639226532375885</v>
      </c>
      <c r="M301" s="39">
        <f t="shared" si="183"/>
        <v>12702160.127566762</v>
      </c>
      <c r="N301" s="40">
        <f t="shared" si="184"/>
        <v>0.146451506749391</v>
      </c>
      <c r="O301" s="16">
        <f t="shared" si="185"/>
        <v>8.2775677486707222E-2</v>
      </c>
      <c r="P301" s="18"/>
      <c r="Q301" s="18">
        <f t="shared" si="186"/>
        <v>219091064.31810087</v>
      </c>
    </row>
    <row r="302" spans="1:37" ht="16" x14ac:dyDescent="0.2">
      <c r="A302" s="258"/>
      <c r="B302" s="14" t="s">
        <v>6</v>
      </c>
      <c r="C302" s="2">
        <f t="shared" si="174"/>
        <v>408840865.08217764</v>
      </c>
      <c r="D302" s="2">
        <f t="shared" si="175"/>
        <v>178485047.14272445</v>
      </c>
      <c r="E302" s="4">
        <f t="shared" si="176"/>
        <v>29583871.307001233</v>
      </c>
      <c r="F302" s="18">
        <f>'Opt 3 - Tier Allocation'!Q276</f>
        <v>200771946.63245195</v>
      </c>
      <c r="G302" s="1">
        <f t="shared" si="177"/>
        <v>0.92763964213544348</v>
      </c>
      <c r="H302" s="1">
        <f t="shared" si="178"/>
        <v>7.2360357864556496E-2</v>
      </c>
      <c r="I302" s="39">
        <f t="shared" si="179"/>
        <v>1</v>
      </c>
      <c r="J302" s="41">
        <f t="shared" si="180"/>
        <v>1.9999999799999998E-2</v>
      </c>
      <c r="K302" s="4">
        <f t="shared" si="181"/>
        <v>4015438.8924946492</v>
      </c>
      <c r="L302" s="40">
        <f t="shared" si="182"/>
        <v>0.19574117998715568</v>
      </c>
      <c r="M302" s="39">
        <f t="shared" si="183"/>
        <v>2881702.8947523665</v>
      </c>
      <c r="N302" s="40">
        <f t="shared" si="184"/>
        <v>3.3225036269591592E-2</v>
      </c>
      <c r="O302" s="16">
        <f t="shared" si="185"/>
        <v>3.4353115078738741E-2</v>
      </c>
      <c r="P302" s="18"/>
      <c r="Q302" s="18">
        <f t="shared" si="186"/>
        <v>207669088.41969895</v>
      </c>
    </row>
    <row r="303" spans="1:37" ht="16" x14ac:dyDescent="0.2">
      <c r="A303" s="258"/>
      <c r="B303" s="14" t="s">
        <v>7</v>
      </c>
      <c r="C303" s="2">
        <f t="shared" si="174"/>
        <v>455208470.31960052</v>
      </c>
      <c r="D303" s="2">
        <f t="shared" si="175"/>
        <v>182757236.87523213</v>
      </c>
      <c r="E303" s="4">
        <f t="shared" si="176"/>
        <v>117679519.63215527</v>
      </c>
      <c r="F303" s="18">
        <f>'Opt 3 - Tier Allocation'!Q277</f>
        <v>154771713.81221309</v>
      </c>
      <c r="G303" s="1">
        <f t="shared" si="177"/>
        <v>0.74148213993133116</v>
      </c>
      <c r="H303" s="1">
        <f t="shared" si="178"/>
        <v>0.25851786006866884</v>
      </c>
      <c r="I303" s="39">
        <f t="shared" si="179"/>
        <v>2</v>
      </c>
      <c r="J303" s="41">
        <f t="shared" si="180"/>
        <v>1.9999999799999998E-2</v>
      </c>
      <c r="K303" s="4">
        <f t="shared" si="181"/>
        <v>3095434.245289919</v>
      </c>
      <c r="L303" s="40">
        <f t="shared" si="182"/>
        <v>0.14058536863247428</v>
      </c>
      <c r="M303" s="39">
        <f t="shared" si="183"/>
        <v>10123674.417838337</v>
      </c>
      <c r="N303" s="40">
        <f t="shared" si="184"/>
        <v>0.11672245960079089</v>
      </c>
      <c r="O303" s="16">
        <f t="shared" si="185"/>
        <v>8.5410365612202277E-2</v>
      </c>
      <c r="P303" s="18"/>
      <c r="Q303" s="18">
        <f t="shared" si="186"/>
        <v>167990822.47534135</v>
      </c>
    </row>
    <row r="304" spans="1:37" ht="16" x14ac:dyDescent="0.2">
      <c r="A304" s="258"/>
      <c r="B304" s="14" t="s">
        <v>8</v>
      </c>
      <c r="C304" s="2">
        <f t="shared" si="174"/>
        <v>1260327413.2823706</v>
      </c>
      <c r="D304" s="2">
        <f t="shared" si="175"/>
        <v>464994646.92276394</v>
      </c>
      <c r="E304" s="4">
        <f t="shared" si="176"/>
        <v>403489927.43992376</v>
      </c>
      <c r="F304" s="18">
        <f>'Opt 3 - Tier Allocation'!Q278</f>
        <v>391842838.91968286</v>
      </c>
      <c r="G304" s="1">
        <f t="shared" si="177"/>
        <v>0.67985308961178359</v>
      </c>
      <c r="H304" s="1">
        <f t="shared" si="178"/>
        <v>0.32014691038821647</v>
      </c>
      <c r="I304" s="39">
        <f t="shared" si="179"/>
        <v>2</v>
      </c>
      <c r="J304" s="41">
        <f t="shared" si="180"/>
        <v>1.9999999799999998E-2</v>
      </c>
      <c r="K304" s="4">
        <f t="shared" si="181"/>
        <v>7836856.7000250882</v>
      </c>
      <c r="L304" s="40">
        <f t="shared" si="182"/>
        <v>0.17410004632376222</v>
      </c>
      <c r="M304" s="39">
        <f t="shared" si="183"/>
        <v>12537095.447820364</v>
      </c>
      <c r="N304" s="40">
        <f t="shared" si="184"/>
        <v>0.14454836816373404</v>
      </c>
      <c r="O304" s="16">
        <f t="shared" si="185"/>
        <v>5.1995213703577618E-2</v>
      </c>
      <c r="P304" s="18"/>
      <c r="Q304" s="18">
        <f t="shared" si="186"/>
        <v>412216791.06752831</v>
      </c>
    </row>
    <row r="305" spans="1:37" ht="16" x14ac:dyDescent="0.2">
      <c r="A305" s="258"/>
      <c r="B305" s="14" t="s">
        <v>9</v>
      </c>
      <c r="C305" s="2">
        <f t="shared" si="174"/>
        <v>128325977.65798232</v>
      </c>
      <c r="D305" s="2">
        <f t="shared" si="175"/>
        <v>55325124.698475614</v>
      </c>
      <c r="E305" s="4">
        <f t="shared" si="176"/>
        <v>5612046.7214450985</v>
      </c>
      <c r="F305" s="18">
        <f>'Opt 3 - Tier Allocation'!Q279</f>
        <v>67388806.238061607</v>
      </c>
      <c r="G305" s="1">
        <f t="shared" si="177"/>
        <v>0.9562672591795679</v>
      </c>
      <c r="H305" s="1">
        <f t="shared" si="178"/>
        <v>4.3732740820432082E-2</v>
      </c>
      <c r="I305" s="39">
        <f t="shared" si="179"/>
        <v>1</v>
      </c>
      <c r="J305" s="41">
        <f t="shared" si="180"/>
        <v>1.9999999799999998E-2</v>
      </c>
      <c r="K305" s="4">
        <f t="shared" si="181"/>
        <v>1347776.1112834706</v>
      </c>
      <c r="L305" s="40">
        <f t="shared" si="182"/>
        <v>0.11830093914525575</v>
      </c>
      <c r="M305" s="39">
        <f t="shared" si="183"/>
        <v>1741627.1773225083</v>
      </c>
      <c r="N305" s="40">
        <f t="shared" si="184"/>
        <v>2.008035812436498E-2</v>
      </c>
      <c r="O305" s="16">
        <f t="shared" si="185"/>
        <v>4.5844457871714976E-2</v>
      </c>
      <c r="P305" s="18"/>
      <c r="Q305" s="18">
        <f t="shared" si="186"/>
        <v>70478209.52666758</v>
      </c>
    </row>
    <row r="306" spans="1:37" ht="16" x14ac:dyDescent="0.2">
      <c r="A306" s="258"/>
      <c r="B306" s="14" t="s">
        <v>10</v>
      </c>
      <c r="C306" s="2">
        <f t="shared" si="174"/>
        <v>1721162839.3071949</v>
      </c>
      <c r="D306" s="2">
        <f t="shared" si="175"/>
        <v>1141202953.5698764</v>
      </c>
      <c r="E306" s="4">
        <f t="shared" si="176"/>
        <v>162946343.16325384</v>
      </c>
      <c r="F306" s="18">
        <f>'Opt 3 - Tier Allocation'!Q280</f>
        <v>417013542.57406467</v>
      </c>
      <c r="G306" s="1">
        <f t="shared" si="177"/>
        <v>0.90532775897669082</v>
      </c>
      <c r="H306" s="1">
        <f t="shared" si="178"/>
        <v>9.4672241023309137E-2</v>
      </c>
      <c r="I306" s="39">
        <f t="shared" si="179"/>
        <v>1</v>
      </c>
      <c r="J306" s="41">
        <f t="shared" si="180"/>
        <v>1.9999999799999998E-2</v>
      </c>
      <c r="K306" s="4">
        <f t="shared" si="181"/>
        <v>8340270.7680785842</v>
      </c>
      <c r="L306" s="40">
        <f t="shared" si="182"/>
        <v>0.2560968010221506</v>
      </c>
      <c r="M306" s="39">
        <f t="shared" si="183"/>
        <v>3770258.7308954536</v>
      </c>
      <c r="N306" s="40">
        <f t="shared" si="184"/>
        <v>4.3469777300033E-2</v>
      </c>
      <c r="O306" s="16">
        <f t="shared" si="185"/>
        <v>2.9041094023518718E-2</v>
      </c>
      <c r="P306" s="18"/>
      <c r="Q306" s="18">
        <f t="shared" si="186"/>
        <v>429124072.0730387</v>
      </c>
    </row>
    <row r="307" spans="1:37" ht="16" x14ac:dyDescent="0.2">
      <c r="A307" s="258"/>
      <c r="B307" s="14" t="s">
        <v>11</v>
      </c>
      <c r="C307" s="2">
        <f t="shared" si="174"/>
        <v>270486988.43371397</v>
      </c>
      <c r="D307" s="2">
        <f t="shared" si="175"/>
        <v>94491091.227710634</v>
      </c>
      <c r="E307" s="4">
        <f t="shared" si="176"/>
        <v>48773233.721329078</v>
      </c>
      <c r="F307" s="18">
        <f>'Opt 3 - Tier Allocation'!Q281</f>
        <v>127222663.48467426</v>
      </c>
      <c r="G307" s="1">
        <f t="shared" si="177"/>
        <v>0.81968362321693888</v>
      </c>
      <c r="H307" s="1">
        <f t="shared" si="178"/>
        <v>0.18031637678306117</v>
      </c>
      <c r="I307" s="39">
        <f t="shared" si="179"/>
        <v>2</v>
      </c>
      <c r="J307" s="41">
        <f t="shared" si="180"/>
        <v>1.9999999799999998E-2</v>
      </c>
      <c r="K307" s="4">
        <f t="shared" si="181"/>
        <v>2544453.2442489523</v>
      </c>
      <c r="L307" s="40">
        <f t="shared" si="182"/>
        <v>9.8058386735002473E-2</v>
      </c>
      <c r="M307" s="39">
        <f t="shared" si="183"/>
        <v>7061269.5396406502</v>
      </c>
      <c r="N307" s="40">
        <f t="shared" si="184"/>
        <v>8.1413992050031844E-2</v>
      </c>
      <c r="O307" s="16">
        <f t="shared" si="185"/>
        <v>7.5503235986304804E-2</v>
      </c>
      <c r="P307" s="18"/>
      <c r="Q307" s="18">
        <f t="shared" si="186"/>
        <v>136828386.26856387</v>
      </c>
    </row>
    <row r="308" spans="1:37" ht="16" x14ac:dyDescent="0.2">
      <c r="A308" s="258"/>
      <c r="B308" s="14"/>
      <c r="C308" s="2"/>
      <c r="D308" s="2"/>
      <c r="E308" s="4"/>
      <c r="F308" s="18"/>
      <c r="G308" s="1"/>
      <c r="H308" s="1"/>
      <c r="I308" s="39"/>
      <c r="J308" s="39"/>
      <c r="K308" s="39"/>
      <c r="L308" s="39"/>
      <c r="M308" s="39"/>
      <c r="N308" s="39"/>
      <c r="O308" s="16"/>
      <c r="P308" s="16"/>
      <c r="Q308" s="16"/>
    </row>
    <row r="309" spans="1:37" x14ac:dyDescent="0.2">
      <c r="A309" s="258"/>
      <c r="B309" s="15" t="s">
        <v>14</v>
      </c>
      <c r="C309" s="30">
        <f>SUM(C296:C307)</f>
        <v>6183477466.1629038</v>
      </c>
      <c r="D309" s="30">
        <f>SUM(D296:D307)</f>
        <v>2712351397.8527474</v>
      </c>
      <c r="E309" s="30">
        <f>SUM(E296:E307)</f>
        <v>1302804221.3741639</v>
      </c>
      <c r="F309" s="30">
        <f>SUM(F296:F307)</f>
        <v>2168321846.9359932</v>
      </c>
      <c r="G309" s="11">
        <f>1-H309</f>
        <v>0.78930881069699987</v>
      </c>
      <c r="H309" s="11">
        <f>MAX(0,E309/C309)</f>
        <v>0.21069118930300013</v>
      </c>
      <c r="I309" s="11"/>
      <c r="J309" s="11"/>
      <c r="K309" s="30">
        <f>SUM(K296:K307)</f>
        <v>43366436.50505548</v>
      </c>
      <c r="L309" s="11"/>
      <c r="M309" s="30">
        <f>SUM(M296:M307)</f>
        <v>86732874.311104223</v>
      </c>
      <c r="N309" s="11"/>
      <c r="O309" s="16"/>
      <c r="P309" s="16"/>
      <c r="Q309" s="30">
        <f>SUM(Q296:Q307)</f>
        <v>2298421157.7521524</v>
      </c>
    </row>
    <row r="310" spans="1:37" x14ac:dyDescent="0.2">
      <c r="G310" s="21">
        <f>SUM(G296:G307)</f>
        <v>9.7914588804239209</v>
      </c>
      <c r="H310" s="21">
        <f>SUM(H296:H307)</f>
        <v>2.2085411195760778</v>
      </c>
      <c r="I310" s="21"/>
      <c r="J310" s="21"/>
      <c r="K310" s="21"/>
      <c r="L310" s="21"/>
      <c r="M310" s="21"/>
      <c r="N310" s="21"/>
      <c r="O310" s="21"/>
      <c r="P310" s="21"/>
      <c r="Q310" s="21"/>
    </row>
    <row r="313" spans="1:37" ht="48" x14ac:dyDescent="0.2">
      <c r="A313" s="257">
        <v>12</v>
      </c>
      <c r="B313" t="s">
        <v>26</v>
      </c>
      <c r="C313" s="4">
        <f>'Opt 3 - Tier Allocation'!C288</f>
        <v>2298421157.7521524</v>
      </c>
      <c r="D313" s="4"/>
      <c r="F313" s="48" t="s">
        <v>68</v>
      </c>
      <c r="G313" s="47" t="s">
        <v>62</v>
      </c>
      <c r="H313" s="48" t="s">
        <v>55</v>
      </c>
      <c r="I313" s="48" t="s">
        <v>54</v>
      </c>
      <c r="J313" s="48" t="s">
        <v>56</v>
      </c>
    </row>
    <row r="314" spans="1:37" x14ac:dyDescent="0.2">
      <c r="A314" s="257"/>
      <c r="B314" t="s">
        <v>27</v>
      </c>
      <c r="C314" s="6">
        <f>C313*(1+C315)</f>
        <v>2436326427.2172818</v>
      </c>
      <c r="D314" s="6"/>
      <c r="F314" t="s">
        <v>53</v>
      </c>
      <c r="G314" s="7">
        <v>1</v>
      </c>
      <c r="H314" s="4">
        <f>SUMIF(I$322:I$333,G314,E$322:E$333)</f>
        <v>254165743.90809512</v>
      </c>
      <c r="I314" s="1">
        <f>H314/SUM(H$314:H$316)</f>
        <v>0.19905861670677275</v>
      </c>
      <c r="J314" s="6">
        <f>($C$317-$K$335)*I314</f>
        <v>18300821.542373057</v>
      </c>
      <c r="K314" s="1"/>
      <c r="M314" s="6"/>
      <c r="N314" s="6"/>
    </row>
    <row r="315" spans="1:37" x14ac:dyDescent="0.2">
      <c r="A315" s="257"/>
      <c r="B315" t="s">
        <v>28</v>
      </c>
      <c r="C315" s="19">
        <f>$C$3</f>
        <v>0.06</v>
      </c>
      <c r="D315" s="19"/>
      <c r="F315" s="38" t="s">
        <v>69</v>
      </c>
      <c r="G315" s="7">
        <v>2</v>
      </c>
      <c r="H315" s="4">
        <f>SUMIF(I$322:I$333,G315,E$322:E$333)</f>
        <v>1022672948.6992137</v>
      </c>
      <c r="I315" s="1">
        <f>H315/SUM(H$314:H$316)</f>
        <v>0.80094138329322728</v>
      </c>
      <c r="J315" s="6">
        <f>($C$317-$K$335)*I315</f>
        <v>73636025.227397501</v>
      </c>
      <c r="K315" s="1"/>
      <c r="M315" s="6"/>
      <c r="N315" s="6"/>
    </row>
    <row r="316" spans="1:37" x14ac:dyDescent="0.2">
      <c r="A316" s="257"/>
      <c r="B316" t="s">
        <v>16</v>
      </c>
      <c r="C316" s="20">
        <f>$C$4</f>
        <v>0.03</v>
      </c>
      <c r="D316" s="20"/>
      <c r="F316" t="s">
        <v>70</v>
      </c>
      <c r="G316" s="7">
        <v>3</v>
      </c>
      <c r="H316" s="4">
        <f>SUMIF(I$322:I$333,G316,E$322:E$333)</f>
        <v>0</v>
      </c>
      <c r="I316" s="1">
        <f>H316/SUM(H$314:H$316)</f>
        <v>0</v>
      </c>
      <c r="J316" s="6">
        <f>($C$317-$K$335)*I316</f>
        <v>0</v>
      </c>
      <c r="K316" s="1"/>
      <c r="M316" s="6"/>
      <c r="N316" s="6"/>
    </row>
    <row r="317" spans="1:37" x14ac:dyDescent="0.2">
      <c r="A317" s="257"/>
      <c r="B317" t="s">
        <v>31</v>
      </c>
      <c r="C317" s="6">
        <f>C314-C313</f>
        <v>137905269.46512938</v>
      </c>
      <c r="D317" s="6"/>
    </row>
    <row r="318" spans="1:37" x14ac:dyDescent="0.2">
      <c r="A318" s="257"/>
      <c r="B318" t="s">
        <v>59</v>
      </c>
      <c r="C318" s="16">
        <f>$C$7</f>
        <v>0.66666665999999997</v>
      </c>
      <c r="D318" s="16"/>
      <c r="S318" s="14"/>
      <c r="T318" s="2"/>
      <c r="U318" s="31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</row>
    <row r="319" spans="1:37" x14ac:dyDescent="0.2">
      <c r="A319" s="257"/>
      <c r="B319" t="s">
        <v>48</v>
      </c>
      <c r="C319" s="20">
        <f>((1+$C$4)^A313)-1</f>
        <v>0.42576088684617863</v>
      </c>
      <c r="D319" s="16"/>
    </row>
    <row r="320" spans="1:37" x14ac:dyDescent="0.2">
      <c r="A320" s="257"/>
    </row>
    <row r="321" spans="1:17" ht="49" thickBot="1" x14ac:dyDescent="0.25">
      <c r="A321" s="258" t="s">
        <v>51</v>
      </c>
      <c r="B321" s="22" t="s">
        <v>12</v>
      </c>
      <c r="C321" s="13" t="s">
        <v>15</v>
      </c>
      <c r="D321" s="13" t="s">
        <v>63</v>
      </c>
      <c r="E321" s="13" t="s">
        <v>13</v>
      </c>
      <c r="F321" s="13" t="s">
        <v>29</v>
      </c>
      <c r="G321" s="13" t="s">
        <v>50</v>
      </c>
      <c r="H321" s="13" t="s">
        <v>17</v>
      </c>
      <c r="I321" s="13" t="s">
        <v>52</v>
      </c>
      <c r="J321" s="13" t="s">
        <v>59</v>
      </c>
      <c r="K321" s="13" t="s">
        <v>60</v>
      </c>
      <c r="L321" s="13" t="s">
        <v>61</v>
      </c>
      <c r="M321" s="13" t="s">
        <v>58</v>
      </c>
      <c r="N321" s="13" t="s">
        <v>57</v>
      </c>
      <c r="O321" s="28" t="s">
        <v>25</v>
      </c>
      <c r="P321" s="28"/>
      <c r="Q321" s="28" t="s">
        <v>32</v>
      </c>
    </row>
    <row r="322" spans="1:17" ht="17" thickTop="1" x14ac:dyDescent="0.2">
      <c r="A322" s="258"/>
      <c r="B322" s="14" t="s">
        <v>0</v>
      </c>
      <c r="C322" s="2">
        <f t="shared" ref="C322:C333" si="187">VLOOKUP($B322,$B$9:$O$22,2,FALSE)*(1+$C$319)</f>
        <v>105593302.14293009</v>
      </c>
      <c r="D322" s="2">
        <f t="shared" ref="D322:D333" si="188">VLOOKUP($B322,$B$9:$O$22,3,FALSE)*(1+$C$319)</f>
        <v>20751826.27909096</v>
      </c>
      <c r="E322" s="4">
        <f t="shared" ref="E322:E333" si="189">C322-D322-F322</f>
        <v>2814030.2666753232</v>
      </c>
      <c r="F322" s="18">
        <f>'Opt 3 - Tier Allocation'!Q296</f>
        <v>82027445.597163811</v>
      </c>
      <c r="G322" s="1">
        <f t="shared" ref="G322:G333" si="190">1-H322</f>
        <v>0.97335029580885468</v>
      </c>
      <c r="H322" s="1">
        <f t="shared" ref="H322:H333" si="191">MAX(0,E322/C322)</f>
        <v>2.664970419114537E-2</v>
      </c>
      <c r="I322" s="39">
        <f t="shared" ref="I322:I333" si="192">IF(H322&lt;0.15,1,IF(H322&gt;0.46,3,2))</f>
        <v>1</v>
      </c>
      <c r="J322" s="41">
        <f t="shared" ref="J322:J333" si="193">MIN($C$4,($C$3*0.5))*$C$7</f>
        <v>1.9999999799999998E-2</v>
      </c>
      <c r="K322" s="4">
        <f t="shared" ref="K322:K333" si="194">J322*F322</f>
        <v>1640548.8955377869</v>
      </c>
      <c r="L322" s="40">
        <f t="shared" ref="L322:L333" si="195">H322/SUMIF($I$322:$I$333,I322,$H$322:$H$333)</f>
        <v>5.695657975491375E-2</v>
      </c>
      <c r="M322" s="39">
        <f t="shared" ref="M322:M333" si="196">L322*VLOOKUP(I322,$G$313:$J$316,4,FALSE)</f>
        <v>1042352.2017586147</v>
      </c>
      <c r="N322" s="40">
        <f t="shared" ref="N322:N333" si="197">M322/SUM($M$322:$M$333)</f>
        <v>1.1337697978362111E-2</v>
      </c>
      <c r="O322" s="16">
        <f t="shared" ref="O322:O333" si="198">(K322+M322)/F322</f>
        <v>3.2707358832946107E-2</v>
      </c>
      <c r="P322" s="18"/>
      <c r="Q322" s="18">
        <f t="shared" ref="Q322:Q333" si="199">M322+K322+F322</f>
        <v>84710346.694460213</v>
      </c>
    </row>
    <row r="323" spans="1:17" ht="16" x14ac:dyDescent="0.2">
      <c r="A323" s="258"/>
      <c r="B323" s="14" t="s">
        <v>1</v>
      </c>
      <c r="C323" s="2">
        <f t="shared" si="187"/>
        <v>235202672.02319264</v>
      </c>
      <c r="D323" s="2">
        <f t="shared" si="188"/>
        <v>78749420.274498731</v>
      </c>
      <c r="E323" s="4">
        <f t="shared" si="189"/>
        <v>32513368.115371555</v>
      </c>
      <c r="F323" s="18">
        <f>'Opt 3 - Tier Allocation'!Q297</f>
        <v>123939883.63332236</v>
      </c>
      <c r="G323" s="1">
        <f t="shared" si="190"/>
        <v>0.86176446111052041</v>
      </c>
      <c r="H323" s="1">
        <f t="shared" si="191"/>
        <v>0.13823553888947956</v>
      </c>
      <c r="I323" s="39">
        <f t="shared" si="192"/>
        <v>1</v>
      </c>
      <c r="J323" s="41">
        <f t="shared" si="193"/>
        <v>1.9999999799999998E-2</v>
      </c>
      <c r="K323" s="4">
        <f t="shared" si="194"/>
        <v>2478797.6478784704</v>
      </c>
      <c r="L323" s="40">
        <f t="shared" si="195"/>
        <v>0.29544130918864564</v>
      </c>
      <c r="M323" s="39">
        <f t="shared" si="196"/>
        <v>5406818.6757064648</v>
      </c>
      <c r="N323" s="40">
        <f t="shared" si="197"/>
        <v>5.8810138325129754E-2</v>
      </c>
      <c r="O323" s="16">
        <f t="shared" si="198"/>
        <v>6.3624525797640941E-2</v>
      </c>
      <c r="P323" s="18"/>
      <c r="Q323" s="18">
        <f t="shared" si="199"/>
        <v>131825499.95690729</v>
      </c>
    </row>
    <row r="324" spans="1:17" ht="16" x14ac:dyDescent="0.2">
      <c r="A324" s="258"/>
      <c r="B324" s="14" t="s">
        <v>2</v>
      </c>
      <c r="C324" s="2">
        <f t="shared" si="187"/>
        <v>159471979.44768819</v>
      </c>
      <c r="D324" s="2">
        <f t="shared" si="188"/>
        <v>40275159.752288617</v>
      </c>
      <c r="E324" s="4">
        <f t="shared" si="189"/>
        <v>16293662.210086673</v>
      </c>
      <c r="F324" s="18">
        <f>'Opt 3 - Tier Allocation'!Q298</f>
        <v>102903157.48531291</v>
      </c>
      <c r="G324" s="1">
        <f t="shared" si="190"/>
        <v>0.89782742857699649</v>
      </c>
      <c r="H324" s="1">
        <f t="shared" si="191"/>
        <v>0.10217257142300354</v>
      </c>
      <c r="I324" s="39">
        <f t="shared" si="192"/>
        <v>1</v>
      </c>
      <c r="J324" s="41">
        <f t="shared" si="193"/>
        <v>1.9999999799999998E-2</v>
      </c>
      <c r="K324" s="4">
        <f t="shared" si="194"/>
        <v>2058063.1291256265</v>
      </c>
      <c r="L324" s="40">
        <f t="shared" si="195"/>
        <v>0.21836640929592294</v>
      </c>
      <c r="M324" s="39">
        <f t="shared" si="196"/>
        <v>3996284.6873734789</v>
      </c>
      <c r="N324" s="40">
        <f t="shared" si="197"/>
        <v>4.3467715369671395E-2</v>
      </c>
      <c r="O324" s="16">
        <f t="shared" si="198"/>
        <v>5.8835394019500581E-2</v>
      </c>
      <c r="P324" s="18"/>
      <c r="Q324" s="18">
        <f t="shared" si="199"/>
        <v>108957505.30181201</v>
      </c>
    </row>
    <row r="325" spans="1:17" ht="16" x14ac:dyDescent="0.2">
      <c r="A325" s="258"/>
      <c r="B325" s="14" t="s">
        <v>3</v>
      </c>
      <c r="C325" s="2">
        <f t="shared" si="187"/>
        <v>681224171.97292697</v>
      </c>
      <c r="D325" s="2">
        <f t="shared" si="188"/>
        <v>244418929.85693496</v>
      </c>
      <c r="E325" s="4">
        <f t="shared" si="189"/>
        <v>233553292.84090117</v>
      </c>
      <c r="F325" s="18">
        <f>'Opt 3 - Tier Allocation'!Q299</f>
        <v>203251949.27509084</v>
      </c>
      <c r="G325" s="1">
        <f t="shared" si="190"/>
        <v>0.65715648027506723</v>
      </c>
      <c r="H325" s="1">
        <f t="shared" si="191"/>
        <v>0.34284351972493277</v>
      </c>
      <c r="I325" s="39">
        <f t="shared" si="192"/>
        <v>2</v>
      </c>
      <c r="J325" s="41">
        <f t="shared" si="193"/>
        <v>1.9999999799999998E-2</v>
      </c>
      <c r="K325" s="4">
        <f t="shared" si="194"/>
        <v>4065038.9448514264</v>
      </c>
      <c r="L325" s="40">
        <f t="shared" si="195"/>
        <v>0.21932729158161779</v>
      </c>
      <c r="M325" s="39">
        <f t="shared" si="196"/>
        <v>16150389.975960774</v>
      </c>
      <c r="N325" s="40">
        <f t="shared" si="197"/>
        <v>0.17566830431333796</v>
      </c>
      <c r="O325" s="16">
        <f t="shared" si="198"/>
        <v>9.9459951025865342E-2</v>
      </c>
      <c r="P325" s="18"/>
      <c r="Q325" s="18">
        <f t="shared" si="199"/>
        <v>223467378.19590303</v>
      </c>
    </row>
    <row r="326" spans="1:17" ht="16" x14ac:dyDescent="0.2">
      <c r="A326" s="258"/>
      <c r="B326" s="14" t="s">
        <v>4</v>
      </c>
      <c r="C326" s="2">
        <f t="shared" si="187"/>
        <v>234149375.42433518</v>
      </c>
      <c r="D326" s="2">
        <f t="shared" si="188"/>
        <v>44175464.271714672</v>
      </c>
      <c r="E326" s="4">
        <f t="shared" si="189"/>
        <v>47073623.540297419</v>
      </c>
      <c r="F326" s="18">
        <f>'Opt 3 - Tier Allocation'!Q300</f>
        <v>142900287.61232308</v>
      </c>
      <c r="G326" s="1">
        <f t="shared" si="190"/>
        <v>0.79895900446034229</v>
      </c>
      <c r="H326" s="1">
        <f t="shared" si="191"/>
        <v>0.20104099553965776</v>
      </c>
      <c r="I326" s="39">
        <f t="shared" si="192"/>
        <v>2</v>
      </c>
      <c r="J326" s="41">
        <f t="shared" si="193"/>
        <v>1.9999999799999998E-2</v>
      </c>
      <c r="K326" s="4">
        <f t="shared" si="194"/>
        <v>2858005.7236664034</v>
      </c>
      <c r="L326" s="40">
        <f t="shared" si="195"/>
        <v>0.12861196001010075</v>
      </c>
      <c r="M326" s="39">
        <f t="shared" si="196"/>
        <v>9470473.5318488181</v>
      </c>
      <c r="N326" s="40">
        <f t="shared" si="197"/>
        <v>0.10301064115854333</v>
      </c>
      <c r="O326" s="16">
        <f t="shared" si="198"/>
        <v>8.6273299106026921E-2</v>
      </c>
      <c r="P326" s="18"/>
      <c r="Q326" s="18">
        <f t="shared" si="199"/>
        <v>155228766.86783829</v>
      </c>
    </row>
    <row r="327" spans="1:17" ht="16" x14ac:dyDescent="0.2">
      <c r="A327" s="258"/>
      <c r="B327" s="14" t="s">
        <v>5</v>
      </c>
      <c r="C327" s="2">
        <f t="shared" si="187"/>
        <v>581657158.43118691</v>
      </c>
      <c r="D327" s="2">
        <f t="shared" si="188"/>
        <v>184577355.90391499</v>
      </c>
      <c r="E327" s="4">
        <f t="shared" si="189"/>
        <v>177988738.20917106</v>
      </c>
      <c r="F327" s="18">
        <f>'Opt 3 - Tier Allocation'!Q301</f>
        <v>219091064.31810087</v>
      </c>
      <c r="G327" s="1">
        <f t="shared" si="190"/>
        <v>0.69399716718138171</v>
      </c>
      <c r="H327" s="1">
        <f t="shared" si="191"/>
        <v>0.30600283281861829</v>
      </c>
      <c r="I327" s="39">
        <f t="shared" si="192"/>
        <v>2</v>
      </c>
      <c r="J327" s="41">
        <f t="shared" si="193"/>
        <v>1.9999999799999998E-2</v>
      </c>
      <c r="K327" s="4">
        <f t="shared" si="194"/>
        <v>4381821.2425438045</v>
      </c>
      <c r="L327" s="40">
        <f t="shared" si="195"/>
        <v>0.19575919822622601</v>
      </c>
      <c r="M327" s="39">
        <f t="shared" si="196"/>
        <v>14414929.259081487</v>
      </c>
      <c r="N327" s="40">
        <f t="shared" si="197"/>
        <v>0.15679164301968657</v>
      </c>
      <c r="O327" s="16">
        <f t="shared" si="198"/>
        <v>8.5794236109666577E-2</v>
      </c>
      <c r="P327" s="18"/>
      <c r="Q327" s="18">
        <f t="shared" si="199"/>
        <v>237887814.81972617</v>
      </c>
    </row>
    <row r="328" spans="1:17" ht="16" x14ac:dyDescent="0.2">
      <c r="A328" s="258"/>
      <c r="B328" s="14" t="s">
        <v>6</v>
      </c>
      <c r="C328" s="2">
        <f t="shared" si="187"/>
        <v>421106091.03464288</v>
      </c>
      <c r="D328" s="2">
        <f t="shared" si="188"/>
        <v>183839598.55700618</v>
      </c>
      <c r="E328" s="4">
        <f t="shared" si="189"/>
        <v>29597404.057937741</v>
      </c>
      <c r="F328" s="18">
        <f>'Opt 3 - Tier Allocation'!Q302</f>
        <v>207669088.41969895</v>
      </c>
      <c r="G328" s="1">
        <f t="shared" si="190"/>
        <v>0.92971508917095458</v>
      </c>
      <c r="H328" s="1">
        <f t="shared" si="191"/>
        <v>7.028491082904538E-2</v>
      </c>
      <c r="I328" s="39">
        <f t="shared" si="192"/>
        <v>1</v>
      </c>
      <c r="J328" s="41">
        <f t="shared" si="193"/>
        <v>1.9999999799999998E-2</v>
      </c>
      <c r="K328" s="4">
        <f t="shared" si="194"/>
        <v>4153381.7268601609</v>
      </c>
      <c r="L328" s="40">
        <f t="shared" si="195"/>
        <v>0.15021510559699283</v>
      </c>
      <c r="M328" s="39">
        <f t="shared" si="196"/>
        <v>2749059.8404992903</v>
      </c>
      <c r="N328" s="40">
        <f t="shared" si="197"/>
        <v>2.9901611128599199E-2</v>
      </c>
      <c r="O328" s="16">
        <f t="shared" si="198"/>
        <v>3.3237693774673033E-2</v>
      </c>
      <c r="P328" s="18"/>
      <c r="Q328" s="18">
        <f t="shared" si="199"/>
        <v>214571529.9870584</v>
      </c>
    </row>
    <row r="329" spans="1:17" ht="16" x14ac:dyDescent="0.2">
      <c r="A329" s="258"/>
      <c r="B329" s="14" t="s">
        <v>7</v>
      </c>
      <c r="C329" s="2">
        <f t="shared" si="187"/>
        <v>468864724.42918849</v>
      </c>
      <c r="D329" s="2">
        <f t="shared" si="188"/>
        <v>188239953.98148906</v>
      </c>
      <c r="E329" s="4">
        <f t="shared" si="189"/>
        <v>112633947.97235808</v>
      </c>
      <c r="F329" s="18">
        <f>'Opt 3 - Tier Allocation'!Q303</f>
        <v>167990822.47534135</v>
      </c>
      <c r="G329" s="1">
        <f t="shared" si="190"/>
        <v>0.75977303878110602</v>
      </c>
      <c r="H329" s="1">
        <f t="shared" si="191"/>
        <v>0.24022696121889398</v>
      </c>
      <c r="I329" s="39">
        <f t="shared" si="192"/>
        <v>2</v>
      </c>
      <c r="J329" s="41">
        <f t="shared" si="193"/>
        <v>1.9999999799999998E-2</v>
      </c>
      <c r="K329" s="4">
        <f t="shared" si="194"/>
        <v>3359816.4159086621</v>
      </c>
      <c r="L329" s="40">
        <f t="shared" si="195"/>
        <v>0.15368039860078089</v>
      </c>
      <c r="M329" s="39">
        <f t="shared" si="196"/>
        <v>11316413.708323605</v>
      </c>
      <c r="N329" s="40">
        <f>M329/SUM($M$322:$M$333)</f>
        <v>0.123088991040364</v>
      </c>
      <c r="O329" s="16">
        <f>(K329+M329)/F329</f>
        <v>8.7363285136523028E-2</v>
      </c>
      <c r="P329" s="18"/>
      <c r="Q329" s="18">
        <f t="shared" si="199"/>
        <v>182667052.59957361</v>
      </c>
    </row>
    <row r="330" spans="1:17" ht="16" x14ac:dyDescent="0.2">
      <c r="A330" s="258"/>
      <c r="B330" s="14" t="s">
        <v>8</v>
      </c>
      <c r="C330" s="2">
        <f t="shared" si="187"/>
        <v>1298137235.6808414</v>
      </c>
      <c r="D330" s="2">
        <f t="shared" si="188"/>
        <v>478944486.33044678</v>
      </c>
      <c r="E330" s="4">
        <f t="shared" si="189"/>
        <v>406975958.28286642</v>
      </c>
      <c r="F330" s="18">
        <f>'Opt 3 - Tier Allocation'!Q304</f>
        <v>412216791.06752831</v>
      </c>
      <c r="G330" s="1">
        <f t="shared" si="190"/>
        <v>0.68649234680536886</v>
      </c>
      <c r="H330" s="1">
        <f t="shared" si="191"/>
        <v>0.31350765319463114</v>
      </c>
      <c r="I330" s="39">
        <f t="shared" si="192"/>
        <v>2</v>
      </c>
      <c r="J330" s="41">
        <f t="shared" si="193"/>
        <v>1.9999999799999998E-2</v>
      </c>
      <c r="K330" s="4">
        <f t="shared" si="194"/>
        <v>8244335.7389072068</v>
      </c>
      <c r="L330" s="40">
        <f t="shared" si="195"/>
        <v>0.20056025711221007</v>
      </c>
      <c r="M330" s="39">
        <f t="shared" si="196"/>
        <v>14768460.152328029</v>
      </c>
      <c r="N330" s="40">
        <f t="shared" si="197"/>
        <v>0.16063700976509887</v>
      </c>
      <c r="O330" s="16">
        <f t="shared" si="198"/>
        <v>5.5826925030487994E-2</v>
      </c>
      <c r="P330" s="18"/>
      <c r="Q330" s="18">
        <f t="shared" si="199"/>
        <v>435229586.95876354</v>
      </c>
    </row>
    <row r="331" spans="1:17" ht="16" x14ac:dyDescent="0.2">
      <c r="A331" s="258"/>
      <c r="B331" s="14" t="s">
        <v>9</v>
      </c>
      <c r="C331" s="2">
        <f t="shared" si="187"/>
        <v>132175756.98772177</v>
      </c>
      <c r="D331" s="2">
        <f t="shared" si="188"/>
        <v>56984878.439429872</v>
      </c>
      <c r="E331" s="4">
        <f t="shared" si="189"/>
        <v>4712669.0216243118</v>
      </c>
      <c r="F331" s="18">
        <f>'Opt 3 - Tier Allocation'!Q305</f>
        <v>70478209.52666758</v>
      </c>
      <c r="G331" s="1">
        <f t="shared" si="190"/>
        <v>0.96434543573628195</v>
      </c>
      <c r="H331" s="1">
        <f t="shared" si="191"/>
        <v>3.5654564263718096E-2</v>
      </c>
      <c r="I331" s="39">
        <f t="shared" si="192"/>
        <v>1</v>
      </c>
      <c r="J331" s="41">
        <f t="shared" si="193"/>
        <v>1.9999999799999998E-2</v>
      </c>
      <c r="K331" s="4">
        <f t="shared" si="194"/>
        <v>1409564.1764377095</v>
      </c>
      <c r="L331" s="40">
        <f t="shared" si="195"/>
        <v>7.6202047818147961E-2</v>
      </c>
      <c r="M331" s="39">
        <f t="shared" si="196"/>
        <v>1394560.0782833041</v>
      </c>
      <c r="N331" s="40">
        <f t="shared" si="197"/>
        <v>1.5168674228903887E-2</v>
      </c>
      <c r="O331" s="16">
        <f t="shared" si="198"/>
        <v>3.9787109711690222E-2</v>
      </c>
      <c r="P331" s="18"/>
      <c r="Q331" s="18">
        <f t="shared" si="199"/>
        <v>73282333.781388596</v>
      </c>
    </row>
    <row r="332" spans="1:17" ht="16" x14ac:dyDescent="0.2">
      <c r="A332" s="258"/>
      <c r="B332" s="14" t="s">
        <v>10</v>
      </c>
      <c r="C332" s="2">
        <f t="shared" si="187"/>
        <v>1772797724.4864106</v>
      </c>
      <c r="D332" s="2">
        <f t="shared" si="188"/>
        <v>1175439042.1769724</v>
      </c>
      <c r="E332" s="4">
        <f t="shared" si="189"/>
        <v>168234610.23639953</v>
      </c>
      <c r="F332" s="18">
        <f>'Opt 3 - Tier Allocation'!Q306</f>
        <v>429124072.0730387</v>
      </c>
      <c r="G332" s="1">
        <f t="shared" si="190"/>
        <v>0.90510219642506706</v>
      </c>
      <c r="H332" s="1">
        <f t="shared" si="191"/>
        <v>9.4897803574932965E-2</v>
      </c>
      <c r="I332" s="39">
        <f t="shared" si="192"/>
        <v>1</v>
      </c>
      <c r="J332" s="41">
        <f t="shared" si="193"/>
        <v>1.9999999799999998E-2</v>
      </c>
      <c r="K332" s="4">
        <f t="shared" si="194"/>
        <v>8582481.3556359578</v>
      </c>
      <c r="L332" s="40">
        <f t="shared" si="195"/>
        <v>0.20281854834537683</v>
      </c>
      <c r="M332" s="39">
        <f t="shared" si="196"/>
        <v>3711746.0587519035</v>
      </c>
      <c r="N332" s="40">
        <f t="shared" si="197"/>
        <v>4.0372779676106432E-2</v>
      </c>
      <c r="O332" s="16">
        <f t="shared" si="198"/>
        <v>2.8649586948120059E-2</v>
      </c>
      <c r="P332" s="18"/>
      <c r="Q332" s="18">
        <f t="shared" si="199"/>
        <v>441418299.48742658</v>
      </c>
    </row>
    <row r="333" spans="1:17" ht="16" x14ac:dyDescent="0.2">
      <c r="A333" s="258"/>
      <c r="B333" s="14" t="s">
        <v>11</v>
      </c>
      <c r="C333" s="2">
        <f t="shared" si="187"/>
        <v>278601598.08672535</v>
      </c>
      <c r="D333" s="2">
        <f t="shared" si="188"/>
        <v>97325823.964541942</v>
      </c>
      <c r="E333" s="4">
        <f t="shared" si="189"/>
        <v>44447387.853619546</v>
      </c>
      <c r="F333" s="18">
        <f>'Opt 3 - Tier Allocation'!Q307</f>
        <v>136828386.26856387</v>
      </c>
      <c r="G333" s="1">
        <f t="shared" si="190"/>
        <v>0.84046255240867784</v>
      </c>
      <c r="H333" s="1">
        <f t="shared" si="191"/>
        <v>0.15953744759132216</v>
      </c>
      <c r="I333" s="39">
        <f t="shared" si="192"/>
        <v>2</v>
      </c>
      <c r="J333" s="41">
        <f t="shared" si="193"/>
        <v>1.9999999799999998E-2</v>
      </c>
      <c r="K333" s="4">
        <f t="shared" si="194"/>
        <v>2736567.6980055999</v>
      </c>
      <c r="L333" s="40">
        <f t="shared" si="195"/>
        <v>0.10206089446906447</v>
      </c>
      <c r="M333" s="39">
        <f t="shared" si="196"/>
        <v>7515358.599854785</v>
      </c>
      <c r="N333" s="40">
        <f t="shared" si="197"/>
        <v>8.174479399619658E-2</v>
      </c>
      <c r="O333" s="16">
        <f t="shared" si="198"/>
        <v>7.492543453474719E-2</v>
      </c>
      <c r="P333" s="18"/>
      <c r="Q333" s="18">
        <f t="shared" si="199"/>
        <v>147080312.56642425</v>
      </c>
    </row>
    <row r="334" spans="1:17" ht="16" x14ac:dyDescent="0.2">
      <c r="A334" s="258"/>
      <c r="B334" s="14"/>
      <c r="C334" s="2"/>
      <c r="D334" s="2"/>
      <c r="E334" s="4"/>
      <c r="F334" s="18"/>
      <c r="G334" s="1"/>
      <c r="H334" s="1"/>
      <c r="I334" s="39"/>
      <c r="J334" s="39"/>
      <c r="K334" s="39"/>
      <c r="L334" s="39"/>
      <c r="M334" s="39"/>
      <c r="N334" s="39"/>
      <c r="O334" s="16"/>
      <c r="P334" s="16"/>
      <c r="Q334" s="16"/>
    </row>
    <row r="335" spans="1:17" x14ac:dyDescent="0.2">
      <c r="A335" s="258"/>
      <c r="B335" s="15" t="s">
        <v>14</v>
      </c>
      <c r="C335" s="30">
        <f>SUM(C322:C333)</f>
        <v>6368981790.1477909</v>
      </c>
      <c r="D335" s="30">
        <f>SUM(D322:D333)</f>
        <v>2793721939.7883291</v>
      </c>
      <c r="E335" s="30">
        <f>SUM(E322:E333)</f>
        <v>1276838692.6073089</v>
      </c>
      <c r="F335" s="30">
        <f>SUM(F322:F333)</f>
        <v>2298421157.7521524</v>
      </c>
      <c r="G335" s="11">
        <f>1-H335</f>
        <v>0.79952232010107849</v>
      </c>
      <c r="H335" s="11">
        <f>MAX(0,E335/C335)</f>
        <v>0.20047767989892151</v>
      </c>
      <c r="I335" s="11"/>
      <c r="J335" s="11"/>
      <c r="K335" s="30">
        <f>SUM(K322:K333)</f>
        <v>45968422.695358813</v>
      </c>
      <c r="L335" s="11"/>
      <c r="M335" s="30">
        <f>SUM(M322:M333)</f>
        <v>91936846.769770548</v>
      </c>
      <c r="N335" s="11"/>
      <c r="O335" s="16"/>
      <c r="P335" s="16"/>
      <c r="Q335" s="30">
        <f>SUM(Q322:Q333)</f>
        <v>2436326427.2172823</v>
      </c>
    </row>
    <row r="336" spans="1:17" x14ac:dyDescent="0.2">
      <c r="G336" s="21">
        <f>SUM(G322:G333)</f>
        <v>9.9689454967406199</v>
      </c>
      <c r="H336" s="21">
        <f>SUM(H322:H333)</f>
        <v>2.031054503259381</v>
      </c>
      <c r="I336" s="21"/>
      <c r="J336" s="21"/>
      <c r="K336" s="21"/>
      <c r="L336" s="21"/>
      <c r="M336" s="21"/>
      <c r="N336" s="21"/>
      <c r="O336" s="21"/>
      <c r="P336" s="21"/>
      <c r="Q336" s="21"/>
    </row>
    <row r="339" spans="1:37" ht="48" x14ac:dyDescent="0.2">
      <c r="A339" s="257">
        <v>13</v>
      </c>
      <c r="B339" t="s">
        <v>26</v>
      </c>
      <c r="C339" s="4">
        <f>'Opt 3 - Tier Allocation'!C314</f>
        <v>2436326427.2172818</v>
      </c>
      <c r="D339" s="4"/>
      <c r="F339" s="48" t="s">
        <v>68</v>
      </c>
      <c r="G339" s="47" t="s">
        <v>62</v>
      </c>
      <c r="H339" s="48" t="s">
        <v>55</v>
      </c>
      <c r="I339" s="48" t="s">
        <v>54</v>
      </c>
      <c r="J339" s="48" t="s">
        <v>56</v>
      </c>
    </row>
    <row r="340" spans="1:37" x14ac:dyDescent="0.2">
      <c r="A340" s="257"/>
      <c r="B340" t="s">
        <v>27</v>
      </c>
      <c r="C340" s="6">
        <f>C339*(1+C341)</f>
        <v>2582506012.8503189</v>
      </c>
      <c r="D340" s="6"/>
      <c r="F340" t="s">
        <v>53</v>
      </c>
      <c r="G340" s="7">
        <v>1</v>
      </c>
      <c r="H340" s="4">
        <f>SUMIF(I$348:I$359,G340,E$348:E$359)</f>
        <v>293285048.23297</v>
      </c>
      <c r="I340" s="1">
        <f>H340/SUM(H$340:H$342)</f>
        <v>0.23534514113330748</v>
      </c>
      <c r="J340" s="6">
        <f>($C$343-$K$361)*I340</f>
        <v>22935103.589085877</v>
      </c>
      <c r="K340" s="1"/>
      <c r="M340" s="6"/>
      <c r="N340" s="6"/>
    </row>
    <row r="341" spans="1:37" x14ac:dyDescent="0.2">
      <c r="A341" s="257"/>
      <c r="B341" t="s">
        <v>28</v>
      </c>
      <c r="C341" s="19">
        <f>$C$3</f>
        <v>0.06</v>
      </c>
      <c r="D341" s="19"/>
      <c r="F341" s="38" t="s">
        <v>69</v>
      </c>
      <c r="G341" s="7">
        <v>2</v>
      </c>
      <c r="H341" s="4">
        <f>SUMIF(I$348:I$359,G341,E$348:E$359)</f>
        <v>952906170.41999292</v>
      </c>
      <c r="I341" s="1">
        <f>H341/SUM(H$340:H$342)</f>
        <v>0.76465485886669249</v>
      </c>
      <c r="J341" s="6">
        <f>($C$343-$K$361)*I341</f>
        <v>74517953.986870855</v>
      </c>
      <c r="K341" s="1"/>
      <c r="M341" s="6"/>
      <c r="N341" s="6"/>
    </row>
    <row r="342" spans="1:37" x14ac:dyDescent="0.2">
      <c r="A342" s="257"/>
      <c r="B342" t="s">
        <v>16</v>
      </c>
      <c r="C342" s="20">
        <f>$C$4</f>
        <v>0.03</v>
      </c>
      <c r="D342" s="20"/>
      <c r="F342" t="s">
        <v>70</v>
      </c>
      <c r="G342" s="7">
        <v>3</v>
      </c>
      <c r="H342" s="4">
        <f>SUMIF(I$348:I$359,G342,E$348:E$359)</f>
        <v>0</v>
      </c>
      <c r="I342" s="1">
        <f>H342/SUM(H$340:H$342)</f>
        <v>0</v>
      </c>
      <c r="J342" s="6">
        <f>($C$343-$K$361)*I342</f>
        <v>0</v>
      </c>
      <c r="K342" s="1"/>
      <c r="M342" s="6"/>
      <c r="N342" s="6"/>
    </row>
    <row r="343" spans="1:37" x14ac:dyDescent="0.2">
      <c r="A343" s="257"/>
      <c r="B343" t="s">
        <v>31</v>
      </c>
      <c r="C343" s="6">
        <f>C340-C339</f>
        <v>146179585.63303709</v>
      </c>
      <c r="D343" s="6"/>
    </row>
    <row r="344" spans="1:37" x14ac:dyDescent="0.2">
      <c r="A344" s="257"/>
      <c r="B344" t="s">
        <v>59</v>
      </c>
      <c r="C344" s="16">
        <f>$C$7</f>
        <v>0.66666665999999997</v>
      </c>
      <c r="D344" s="16"/>
      <c r="S344" s="14"/>
      <c r="T344" s="2"/>
      <c r="U344" s="31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</row>
    <row r="345" spans="1:37" x14ac:dyDescent="0.2">
      <c r="A345" s="257"/>
      <c r="B345" t="s">
        <v>48</v>
      </c>
      <c r="C345" s="20">
        <f>((1+$C$4)^A339)-1</f>
        <v>0.46853371345156392</v>
      </c>
      <c r="D345" s="16"/>
    </row>
    <row r="346" spans="1:37" x14ac:dyDescent="0.2">
      <c r="A346" s="257"/>
    </row>
    <row r="347" spans="1:37" ht="49" thickBot="1" x14ac:dyDescent="0.25">
      <c r="A347" s="258" t="s">
        <v>51</v>
      </c>
      <c r="B347" s="22" t="s">
        <v>12</v>
      </c>
      <c r="C347" s="13" t="s">
        <v>15</v>
      </c>
      <c r="D347" s="13" t="s">
        <v>63</v>
      </c>
      <c r="E347" s="13" t="s">
        <v>13</v>
      </c>
      <c r="F347" s="13" t="s">
        <v>29</v>
      </c>
      <c r="G347" s="13" t="s">
        <v>50</v>
      </c>
      <c r="H347" s="13" t="s">
        <v>17</v>
      </c>
      <c r="I347" s="13" t="s">
        <v>52</v>
      </c>
      <c r="J347" s="13" t="s">
        <v>59</v>
      </c>
      <c r="K347" s="13" t="s">
        <v>60</v>
      </c>
      <c r="L347" s="13" t="s">
        <v>61</v>
      </c>
      <c r="M347" s="13" t="s">
        <v>58</v>
      </c>
      <c r="N347" s="13" t="s">
        <v>57</v>
      </c>
      <c r="O347" s="28" t="s">
        <v>25</v>
      </c>
      <c r="P347" s="28"/>
      <c r="Q347" s="28" t="s">
        <v>32</v>
      </c>
    </row>
    <row r="348" spans="1:37" ht="17" thickTop="1" x14ac:dyDescent="0.2">
      <c r="A348" s="258"/>
      <c r="B348" s="14" t="s">
        <v>0</v>
      </c>
      <c r="C348" s="2">
        <f t="shared" ref="C348:C359" si="200">VLOOKUP($B348,$B$9:$O$22,2,FALSE)*(1+$C$345)</f>
        <v>108761101.20721799</v>
      </c>
      <c r="D348" s="2">
        <f t="shared" ref="D348:D359" si="201">VLOOKUP($B348,$B$9:$O$22,3,FALSE)*(1+$C$345)</f>
        <v>21374381.067463689</v>
      </c>
      <c r="E348" s="4">
        <f t="shared" ref="E348:E359" si="202">C348-D348-F348</f>
        <v>2676373.4452940822</v>
      </c>
      <c r="F348" s="18">
        <f>'Opt 3 - Tier Allocation'!Q322</f>
        <v>84710346.694460213</v>
      </c>
      <c r="G348" s="1">
        <f t="shared" ref="G348:G359" si="203">1-H348</f>
        <v>0.97539218143631246</v>
      </c>
      <c r="H348" s="1">
        <f t="shared" ref="H348:H359" si="204">MAX(0,E348/C348)</f>
        <v>2.4607818563687576E-2</v>
      </c>
      <c r="I348" s="39">
        <f t="shared" ref="I348:I359" si="205">IF(H348&lt;0.15,1,IF(H348&gt;0.46,3,2))</f>
        <v>1</v>
      </c>
      <c r="J348" s="41">
        <f t="shared" ref="J348:J359" si="206">MIN($C$4,($C$3*0.5))*$C$7</f>
        <v>1.9999999799999998E-2</v>
      </c>
      <c r="K348" s="4">
        <f>J348*F348</f>
        <v>1694206.9169471348</v>
      </c>
      <c r="L348" s="40">
        <f>H348/SUMIF($I$348:$I$359,I348,$H$348:$H$359)</f>
        <v>4.37548038435824E-2</v>
      </c>
      <c r="M348" s="39">
        <f>L348*VLOOKUP(I348,$G$339:$J$342,4,FALSE)</f>
        <v>1003520.9586726952</v>
      </c>
      <c r="N348" s="40">
        <f>M348/SUM($M$348:$M$359)</f>
        <v>1.0297480485828084E-2</v>
      </c>
      <c r="O348" s="16">
        <f>(K348+M348)/F348</f>
        <v>3.1846497870563581E-2</v>
      </c>
      <c r="P348" s="18"/>
      <c r="Q348" s="18">
        <f t="shared" ref="Q348:Q359" si="207">M348+K348+F348</f>
        <v>87408074.570080042</v>
      </c>
    </row>
    <row r="349" spans="1:37" ht="16" x14ac:dyDescent="0.2">
      <c r="A349" s="258"/>
      <c r="B349" s="14" t="s">
        <v>1</v>
      </c>
      <c r="C349" s="2">
        <f t="shared" si="200"/>
        <v>242258752.18388841</v>
      </c>
      <c r="D349" s="2">
        <f t="shared" si="201"/>
        <v>81111902.882733688</v>
      </c>
      <c r="E349" s="4">
        <f t="shared" si="202"/>
        <v>29321349.344247445</v>
      </c>
      <c r="F349" s="18">
        <f>'Opt 3 - Tier Allocation'!Q323</f>
        <v>131825499.95690729</v>
      </c>
      <c r="G349" s="1">
        <f t="shared" si="203"/>
        <v>0.87896681098237128</v>
      </c>
      <c r="H349" s="1">
        <f t="shared" si="204"/>
        <v>0.12103318901762875</v>
      </c>
      <c r="I349" s="39">
        <f t="shared" si="205"/>
        <v>1</v>
      </c>
      <c r="J349" s="41">
        <f t="shared" si="206"/>
        <v>1.9999999799999998E-2</v>
      </c>
      <c r="K349" s="4">
        <f t="shared" ref="K349:K359" si="208">J349*F349</f>
        <v>2636509.9727730453</v>
      </c>
      <c r="L349" s="40">
        <f t="shared" ref="L349:L359" si="209">H349/SUMIF($I$348:$I$359,I349,$H$348:$H$359)</f>
        <v>0.21520735088010923</v>
      </c>
      <c r="M349" s="39">
        <f t="shared" ref="M349:M359" si="210">L349*VLOOKUP(I349,$G$339:$J$342,4,FALSE)</f>
        <v>4935802.8855680572</v>
      </c>
      <c r="N349" s="40">
        <f t="shared" ref="N349:N359" si="211">M349/SUM($M$348:$M$359)</f>
        <v>5.0648004365804536E-2</v>
      </c>
      <c r="O349" s="16">
        <f t="shared" ref="O349:O359" si="212">(K349+M349)/F349</f>
        <v>5.7441943029356471E-2</v>
      </c>
      <c r="P349" s="18"/>
      <c r="Q349" s="18">
        <f t="shared" si="207"/>
        <v>139397812.8152484</v>
      </c>
    </row>
    <row r="350" spans="1:37" ht="16" x14ac:dyDescent="0.2">
      <c r="A350" s="258"/>
      <c r="B350" s="14" t="s">
        <v>2</v>
      </c>
      <c r="C350" s="2">
        <f t="shared" si="200"/>
        <v>164256138.83111882</v>
      </c>
      <c r="D350" s="2">
        <f t="shared" si="201"/>
        <v>41483414.544857271</v>
      </c>
      <c r="E350" s="4">
        <f t="shared" si="202"/>
        <v>13815218.984449551</v>
      </c>
      <c r="F350" s="18">
        <f>'Opt 3 - Tier Allocation'!Q324</f>
        <v>108957505.30181201</v>
      </c>
      <c r="G350" s="1">
        <f t="shared" si="203"/>
        <v>0.91589222124200931</v>
      </c>
      <c r="H350" s="1">
        <f t="shared" si="204"/>
        <v>8.410777875799072E-2</v>
      </c>
      <c r="I350" s="39">
        <f t="shared" si="205"/>
        <v>1</v>
      </c>
      <c r="J350" s="41">
        <f t="shared" si="206"/>
        <v>1.9999999799999998E-2</v>
      </c>
      <c r="K350" s="4">
        <f t="shared" si="208"/>
        <v>2179150.0842447388</v>
      </c>
      <c r="L350" s="40">
        <f t="shared" si="209"/>
        <v>0.1495508166134589</v>
      </c>
      <c r="M350" s="39">
        <f t="shared" si="210"/>
        <v>3429963.470862065</v>
      </c>
      <c r="N350" s="40">
        <f>M350/SUM($M$348:$M$359)</f>
        <v>3.519605804249587E-2</v>
      </c>
      <c r="O350" s="16">
        <f t="shared" si="212"/>
        <v>5.1479827292021545E-2</v>
      </c>
      <c r="P350" s="18"/>
      <c r="Q350" s="18">
        <f t="shared" si="207"/>
        <v>114566618.85691881</v>
      </c>
    </row>
    <row r="351" spans="1:37" ht="16" x14ac:dyDescent="0.2">
      <c r="A351" s="258"/>
      <c r="B351" s="14" t="s">
        <v>3</v>
      </c>
      <c r="C351" s="2">
        <f t="shared" si="200"/>
        <v>701660897.13211465</v>
      </c>
      <c r="D351" s="2">
        <f t="shared" si="201"/>
        <v>251751497.75264299</v>
      </c>
      <c r="E351" s="4">
        <f t="shared" si="202"/>
        <v>226442021.18356863</v>
      </c>
      <c r="F351" s="18">
        <f>'Opt 3 - Tier Allocation'!Q325</f>
        <v>223467378.19590303</v>
      </c>
      <c r="G351" s="1">
        <f t="shared" si="203"/>
        <v>0.67727712616008562</v>
      </c>
      <c r="H351" s="1">
        <f t="shared" si="204"/>
        <v>0.32272287383991444</v>
      </c>
      <c r="I351" s="39">
        <f t="shared" si="205"/>
        <v>2</v>
      </c>
      <c r="J351" s="41">
        <f t="shared" si="206"/>
        <v>1.9999999799999998E-2</v>
      </c>
      <c r="K351" s="4">
        <f t="shared" si="208"/>
        <v>4469347.5192245841</v>
      </c>
      <c r="L351" s="40">
        <f t="shared" si="209"/>
        <v>0.24789787928552906</v>
      </c>
      <c r="M351" s="39">
        <f t="shared" si="210"/>
        <v>18472842.762041919</v>
      </c>
      <c r="N351" s="40">
        <f t="shared" si="211"/>
        <v>0.18955631789842858</v>
      </c>
      <c r="O351" s="16">
        <f t="shared" si="212"/>
        <v>0.10266460575357086</v>
      </c>
      <c r="P351" s="18"/>
      <c r="Q351" s="18">
        <f t="shared" si="207"/>
        <v>246409568.47716954</v>
      </c>
    </row>
    <row r="352" spans="1:37" ht="16" x14ac:dyDescent="0.2">
      <c r="A352" s="258"/>
      <c r="B352" s="14" t="s">
        <v>4</v>
      </c>
      <c r="C352" s="2">
        <f t="shared" si="200"/>
        <v>241173856.68706521</v>
      </c>
      <c r="D352" s="2">
        <f t="shared" si="201"/>
        <v>45500728.199866109</v>
      </c>
      <c r="E352" s="4">
        <f t="shared" si="202"/>
        <v>40444361.619360805</v>
      </c>
      <c r="F352" s="18">
        <f>'Opt 3 - Tier Allocation'!Q326</f>
        <v>155228766.86783829</v>
      </c>
      <c r="G352" s="1">
        <f t="shared" si="203"/>
        <v>0.83230204892465054</v>
      </c>
      <c r="H352" s="1">
        <f t="shared" si="204"/>
        <v>0.16769795107534946</v>
      </c>
      <c r="I352" s="39">
        <f t="shared" si="205"/>
        <v>2</v>
      </c>
      <c r="J352" s="41">
        <f t="shared" si="206"/>
        <v>1.9999999799999998E-2</v>
      </c>
      <c r="K352" s="4">
        <f t="shared" si="208"/>
        <v>3104575.3063110122</v>
      </c>
      <c r="L352" s="40">
        <f t="shared" si="209"/>
        <v>0.12881629968605562</v>
      </c>
      <c r="M352" s="39">
        <f t="shared" si="210"/>
        <v>9599127.0927644596</v>
      </c>
      <c r="N352" s="40">
        <f t="shared" si="211"/>
        <v>9.8500009456170434E-2</v>
      </c>
      <c r="O352" s="16">
        <f t="shared" si="212"/>
        <v>8.1838583501029794E-2</v>
      </c>
      <c r="P352" s="18"/>
      <c r="Q352" s="18">
        <f t="shared" si="207"/>
        <v>167932469.26691377</v>
      </c>
    </row>
    <row r="353" spans="1:17" ht="16" x14ac:dyDescent="0.2">
      <c r="A353" s="258"/>
      <c r="B353" s="14" t="s">
        <v>5</v>
      </c>
      <c r="C353" s="2">
        <f t="shared" si="200"/>
        <v>599106873.18412244</v>
      </c>
      <c r="D353" s="2">
        <f t="shared" si="201"/>
        <v>190114676.58103243</v>
      </c>
      <c r="E353" s="4">
        <f t="shared" si="202"/>
        <v>171104381.78336388</v>
      </c>
      <c r="F353" s="18">
        <f>'Opt 3 - Tier Allocation'!Q327</f>
        <v>237887814.81972617</v>
      </c>
      <c r="G353" s="1">
        <f t="shared" si="203"/>
        <v>0.71440090334136652</v>
      </c>
      <c r="H353" s="1">
        <f t="shared" si="204"/>
        <v>0.28559909665863353</v>
      </c>
      <c r="I353" s="39">
        <f t="shared" si="205"/>
        <v>2</v>
      </c>
      <c r="J353" s="41">
        <f t="shared" si="206"/>
        <v>1.9999999799999998E-2</v>
      </c>
      <c r="K353" s="4">
        <f t="shared" si="208"/>
        <v>4757756.2488169596</v>
      </c>
      <c r="L353" s="40">
        <f t="shared" si="209"/>
        <v>0.21938144496896705</v>
      </c>
      <c r="M353" s="39">
        <f t="shared" si="210"/>
        <v>16347856.421770727</v>
      </c>
      <c r="N353" s="40">
        <f t="shared" si="211"/>
        <v>0.16775108784071657</v>
      </c>
      <c r="O353" s="16">
        <f t="shared" si="212"/>
        <v>8.8720864860529908E-2</v>
      </c>
      <c r="P353" s="18"/>
      <c r="Q353" s="18">
        <f t="shared" si="207"/>
        <v>258993427.49031386</v>
      </c>
    </row>
    <row r="354" spans="1:17" ht="16" x14ac:dyDescent="0.2">
      <c r="A354" s="258"/>
      <c r="B354" s="14" t="s">
        <v>6</v>
      </c>
      <c r="C354" s="2">
        <f t="shared" si="200"/>
        <v>433739273.76568216</v>
      </c>
      <c r="D354" s="2">
        <f t="shared" si="201"/>
        <v>189354786.51371634</v>
      </c>
      <c r="E354" s="4">
        <f t="shared" si="202"/>
        <v>29812957.26490742</v>
      </c>
      <c r="F354" s="18">
        <f>'Opt 3 - Tier Allocation'!Q328</f>
        <v>214571529.9870584</v>
      </c>
      <c r="G354" s="1">
        <f t="shared" si="203"/>
        <v>0.9312652575680449</v>
      </c>
      <c r="H354" s="1">
        <f t="shared" si="204"/>
        <v>6.8734742431955098E-2</v>
      </c>
      <c r="I354" s="39">
        <f t="shared" si="205"/>
        <v>1</v>
      </c>
      <c r="J354" s="41">
        <f t="shared" si="206"/>
        <v>1.9999999799999998E-2</v>
      </c>
      <c r="K354" s="4">
        <f t="shared" si="208"/>
        <v>4291430.5568268616</v>
      </c>
      <c r="L354" s="40">
        <f t="shared" si="209"/>
        <v>0.12221624458769878</v>
      </c>
      <c r="M354" s="39">
        <f t="shared" si="210"/>
        <v>2803042.2298879279</v>
      </c>
      <c r="N354" s="40">
        <f t="shared" si="211"/>
        <v>2.8762999331274797E-2</v>
      </c>
      <c r="O354" s="16">
        <f t="shared" si="212"/>
        <v>3.3063439437388001E-2</v>
      </c>
      <c r="P354" s="18"/>
      <c r="Q354" s="18">
        <f t="shared" si="207"/>
        <v>221666002.77377319</v>
      </c>
    </row>
    <row r="355" spans="1:17" ht="16" x14ac:dyDescent="0.2">
      <c r="A355" s="258"/>
      <c r="B355" s="14" t="s">
        <v>7</v>
      </c>
      <c r="C355" s="2">
        <f t="shared" si="200"/>
        <v>482930666.16206414</v>
      </c>
      <c r="D355" s="2">
        <f t="shared" si="201"/>
        <v>193887152.60093373</v>
      </c>
      <c r="E355" s="4">
        <f t="shared" si="202"/>
        <v>106376460.96155679</v>
      </c>
      <c r="F355" s="18">
        <f>'Opt 3 - Tier Allocation'!Q329</f>
        <v>182667052.59957361</v>
      </c>
      <c r="G355" s="1">
        <f t="shared" si="203"/>
        <v>0.77972726021532357</v>
      </c>
      <c r="H355" s="1">
        <f t="shared" si="204"/>
        <v>0.22027273978467643</v>
      </c>
      <c r="I355" s="39">
        <f t="shared" si="205"/>
        <v>2</v>
      </c>
      <c r="J355" s="41">
        <f t="shared" si="206"/>
        <v>1.9999999799999998E-2</v>
      </c>
      <c r="K355" s="4">
        <f t="shared" si="208"/>
        <v>3653341.0154580614</v>
      </c>
      <c r="L355" s="40">
        <f t="shared" si="209"/>
        <v>0.16920134729626002</v>
      </c>
      <c r="M355" s="39">
        <f t="shared" si="210"/>
        <v>12608538.21233926</v>
      </c>
      <c r="N355" s="40">
        <f t="shared" si="211"/>
        <v>0.12938063233687594</v>
      </c>
      <c r="O355" s="16">
        <f t="shared" si="212"/>
        <v>8.9024698194726776E-2</v>
      </c>
      <c r="P355" s="18"/>
      <c r="Q355" s="18">
        <f t="shared" si="207"/>
        <v>198928931.82737094</v>
      </c>
    </row>
    <row r="356" spans="1:17" ht="16" x14ac:dyDescent="0.2">
      <c r="A356" s="258"/>
      <c r="B356" s="14" t="s">
        <v>8</v>
      </c>
      <c r="C356" s="2">
        <f t="shared" si="200"/>
        <v>1337081352.7512665</v>
      </c>
      <c r="D356" s="2">
        <f t="shared" si="201"/>
        <v>493312820.92036015</v>
      </c>
      <c r="E356" s="4">
        <f t="shared" si="202"/>
        <v>408538944.87214285</v>
      </c>
      <c r="F356" s="18">
        <f>'Opt 3 - Tier Allocation'!Q330</f>
        <v>435229586.95876354</v>
      </c>
      <c r="G356" s="1">
        <f t="shared" si="203"/>
        <v>0.69445468367986263</v>
      </c>
      <c r="H356" s="1">
        <f t="shared" si="204"/>
        <v>0.30554531632013732</v>
      </c>
      <c r="I356" s="39">
        <f t="shared" si="205"/>
        <v>2</v>
      </c>
      <c r="J356" s="41">
        <f t="shared" si="206"/>
        <v>1.9999999799999998E-2</v>
      </c>
      <c r="K356" s="4">
        <f t="shared" si="208"/>
        <v>8704591.6521293521</v>
      </c>
      <c r="L356" s="40">
        <f t="shared" si="209"/>
        <v>0.23470302876318819</v>
      </c>
      <c r="M356" s="39">
        <f t="shared" si="210"/>
        <v>17489589.497954484</v>
      </c>
      <c r="N356" s="40">
        <f t="shared" si="211"/>
        <v>0.17946681133450093</v>
      </c>
      <c r="O356" s="16">
        <f t="shared" si="212"/>
        <v>6.0184743719102082E-2</v>
      </c>
      <c r="P356" s="18"/>
      <c r="Q356" s="18">
        <f t="shared" si="207"/>
        <v>461423768.10884738</v>
      </c>
    </row>
    <row r="357" spans="1:17" ht="16" x14ac:dyDescent="0.2">
      <c r="A357" s="258"/>
      <c r="B357" s="14" t="s">
        <v>9</v>
      </c>
      <c r="C357" s="2">
        <f t="shared" si="200"/>
        <v>136141029.69735342</v>
      </c>
      <c r="D357" s="2">
        <f t="shared" si="201"/>
        <v>58694424.792612761</v>
      </c>
      <c r="E357" s="4">
        <f t="shared" si="202"/>
        <v>4164271.1233520657</v>
      </c>
      <c r="F357" s="18">
        <f>'Opt 3 - Tier Allocation'!Q331</f>
        <v>73282333.781388596</v>
      </c>
      <c r="G357" s="1">
        <f t="shared" si="203"/>
        <v>0.96941207854377631</v>
      </c>
      <c r="H357" s="1">
        <f t="shared" si="204"/>
        <v>3.0587921456223709E-2</v>
      </c>
      <c r="I357" s="39">
        <f t="shared" si="205"/>
        <v>1</v>
      </c>
      <c r="J357" s="41">
        <f t="shared" si="206"/>
        <v>1.9999999799999998E-2</v>
      </c>
      <c r="K357" s="4">
        <f t="shared" si="208"/>
        <v>1465646.6609713051</v>
      </c>
      <c r="L357" s="40">
        <f t="shared" si="209"/>
        <v>5.4387937713216546E-2</v>
      </c>
      <c r="M357" s="39">
        <f t="shared" si="210"/>
        <v>1247392.9854493719</v>
      </c>
      <c r="N357" s="40">
        <f t="shared" si="211"/>
        <v>1.2799936877066483E-2</v>
      </c>
      <c r="O357" s="16">
        <f t="shared" si="212"/>
        <v>3.7021741890945398E-2</v>
      </c>
      <c r="P357" s="18"/>
      <c r="Q357" s="18">
        <f t="shared" si="207"/>
        <v>75995373.427809268</v>
      </c>
    </row>
    <row r="358" spans="1:17" ht="16" x14ac:dyDescent="0.2">
      <c r="A358" s="258"/>
      <c r="B358" s="14" t="s">
        <v>10</v>
      </c>
      <c r="C358" s="2">
        <f t="shared" si="200"/>
        <v>1825981656.2210028</v>
      </c>
      <c r="D358" s="2">
        <f t="shared" si="201"/>
        <v>1210702213.4422815</v>
      </c>
      <c r="E358" s="4">
        <f t="shared" si="202"/>
        <v>173861143.29129475</v>
      </c>
      <c r="F358" s="18">
        <f>'Opt 3 - Tier Allocation'!Q332</f>
        <v>441418299.48742658</v>
      </c>
      <c r="G358" s="1">
        <f t="shared" si="203"/>
        <v>0.9047848357627466</v>
      </c>
      <c r="H358" s="1">
        <f t="shared" si="204"/>
        <v>9.5215164237253402E-2</v>
      </c>
      <c r="I358" s="39">
        <f t="shared" si="205"/>
        <v>1</v>
      </c>
      <c r="J358" s="41">
        <f t="shared" si="206"/>
        <v>1.9999999799999998E-2</v>
      </c>
      <c r="K358" s="4">
        <f t="shared" si="208"/>
        <v>8828365.9014648702</v>
      </c>
      <c r="L358" s="40">
        <f t="shared" si="209"/>
        <v>0.16930069698592559</v>
      </c>
      <c r="M358" s="39">
        <f t="shared" si="210"/>
        <v>3882929.0230766428</v>
      </c>
      <c r="N358" s="40">
        <f t="shared" si="211"/>
        <v>3.9844096426119982E-2</v>
      </c>
      <c r="O358" s="16">
        <f t="shared" si="212"/>
        <v>2.8796483832459651E-2</v>
      </c>
      <c r="P358" s="18"/>
      <c r="Q358" s="18">
        <f t="shared" si="207"/>
        <v>454129594.41196811</v>
      </c>
    </row>
    <row r="359" spans="1:17" ht="16" x14ac:dyDescent="0.2">
      <c r="A359" s="258"/>
      <c r="B359" s="14" t="s">
        <v>11</v>
      </c>
      <c r="C359" s="2">
        <f t="shared" si="200"/>
        <v>286959646.02932709</v>
      </c>
      <c r="D359" s="2">
        <f t="shared" si="201"/>
        <v>100245598.68347819</v>
      </c>
      <c r="E359" s="4">
        <f t="shared" si="202"/>
        <v>39633734.779424667</v>
      </c>
      <c r="F359" s="18">
        <f>'Opt 3 - Tier Allocation'!Q333</f>
        <v>147080312.56642425</v>
      </c>
      <c r="G359" s="1">
        <f t="shared" si="203"/>
        <v>0.86188394316818284</v>
      </c>
      <c r="H359" s="1">
        <f t="shared" si="204"/>
        <v>0.13811605683181713</v>
      </c>
      <c r="I359" s="39">
        <f t="shared" si="205"/>
        <v>1</v>
      </c>
      <c r="J359" s="41">
        <f t="shared" si="206"/>
        <v>1.9999999799999998E-2</v>
      </c>
      <c r="K359" s="4">
        <f t="shared" si="208"/>
        <v>2941606.2219124222</v>
      </c>
      <c r="L359" s="40">
        <f t="shared" si="209"/>
        <v>0.2455821493760085</v>
      </c>
      <c r="M359" s="39">
        <f t="shared" si="210"/>
        <v>5632452.0355691165</v>
      </c>
      <c r="N359" s="40">
        <f t="shared" si="211"/>
        <v>5.7796565604717721E-2</v>
      </c>
      <c r="O359" s="16">
        <f t="shared" si="212"/>
        <v>5.829507775630631E-2</v>
      </c>
      <c r="P359" s="18"/>
      <c r="Q359" s="18">
        <f t="shared" si="207"/>
        <v>155654370.8239058</v>
      </c>
    </row>
    <row r="360" spans="1:17" ht="16" x14ac:dyDescent="0.2">
      <c r="A360" s="258"/>
      <c r="B360" s="14"/>
      <c r="C360" s="2"/>
      <c r="D360" s="2"/>
      <c r="E360" s="4"/>
      <c r="F360" s="18"/>
      <c r="G360" s="1"/>
      <c r="H360" s="1"/>
      <c r="I360" s="39"/>
      <c r="J360" s="39"/>
      <c r="K360" s="39"/>
      <c r="L360" s="39"/>
      <c r="M360" s="39"/>
      <c r="N360" s="39"/>
      <c r="O360" s="16"/>
      <c r="P360" s="16"/>
      <c r="Q360" s="16"/>
    </row>
    <row r="361" spans="1:17" x14ac:dyDescent="0.2">
      <c r="A361" s="258"/>
      <c r="B361" s="15" t="s">
        <v>14</v>
      </c>
      <c r="C361" s="30">
        <f>SUM(C348:C359)</f>
        <v>6560051243.8522234</v>
      </c>
      <c r="D361" s="30">
        <f>SUM(D348:D359)</f>
        <v>2877533597.9819789</v>
      </c>
      <c r="E361" s="30">
        <f>SUM(E348:E359)</f>
        <v>1246191218.6529629</v>
      </c>
      <c r="F361" s="30">
        <f>SUM(F348:F359)</f>
        <v>2436326427.2172823</v>
      </c>
      <c r="G361" s="11">
        <f>1-H361</f>
        <v>0.81003331036158666</v>
      </c>
      <c r="H361" s="11">
        <f>MAX(0,E361/C361)</f>
        <v>0.18996668963841337</v>
      </c>
      <c r="I361" s="11"/>
      <c r="J361" s="11"/>
      <c r="K361" s="30">
        <f>SUM(K348:K359)</f>
        <v>48726528.057080351</v>
      </c>
      <c r="L361" s="11"/>
      <c r="M361" s="30">
        <f>SUM(M348:M359)</f>
        <v>97453057.575956732</v>
      </c>
      <c r="N361" s="11"/>
      <c r="O361" s="16"/>
      <c r="P361" s="16"/>
      <c r="Q361" s="30">
        <f>SUM(Q348:Q359)</f>
        <v>2582506012.8503194</v>
      </c>
    </row>
    <row r="362" spans="1:17" x14ac:dyDescent="0.2">
      <c r="G362" s="21">
        <f>SUM(G348:G359)</f>
        <v>10.135759351024733</v>
      </c>
      <c r="H362" s="21">
        <f>SUM(H348:H359)</f>
        <v>1.8642406489752676</v>
      </c>
      <c r="I362" s="21"/>
      <c r="J362" s="21"/>
      <c r="K362" s="21"/>
      <c r="L362" s="21"/>
      <c r="M362" s="21"/>
      <c r="N362" s="21"/>
      <c r="O362" s="21"/>
      <c r="P362" s="21"/>
      <c r="Q362" s="21"/>
    </row>
    <row r="365" spans="1:17" ht="48" x14ac:dyDescent="0.2">
      <c r="A365" s="257">
        <v>14</v>
      </c>
      <c r="B365" t="s">
        <v>26</v>
      </c>
      <c r="C365" s="4">
        <f>'Opt 3 - Tier Allocation'!C340</f>
        <v>2582506012.8503189</v>
      </c>
      <c r="D365" s="4"/>
      <c r="F365" s="48" t="s">
        <v>68</v>
      </c>
      <c r="G365" s="47" t="s">
        <v>62</v>
      </c>
      <c r="H365" s="48" t="s">
        <v>55</v>
      </c>
      <c r="I365" s="48" t="s">
        <v>54</v>
      </c>
      <c r="J365" s="48" t="s">
        <v>56</v>
      </c>
    </row>
    <row r="366" spans="1:17" x14ac:dyDescent="0.2">
      <c r="A366" s="257"/>
      <c r="B366" t="s">
        <v>27</v>
      </c>
      <c r="C366" s="6">
        <f>C365*(1+C367)</f>
        <v>2737456373.6213384</v>
      </c>
      <c r="D366" s="6"/>
      <c r="F366" t="s">
        <v>53</v>
      </c>
      <c r="G366" s="7">
        <v>1</v>
      </c>
      <c r="H366" s="4">
        <f>SUMIF(I$374:I$385,G366,E$374:E$385)</f>
        <v>324777807.68389827</v>
      </c>
      <c r="I366" s="1">
        <f>H366/SUM(H$366:H$368)</f>
        <v>0.26830338872907528</v>
      </c>
      <c r="J366" s="6">
        <f>($C$369-$K$387)*I366</f>
        <v>27715804.725017242</v>
      </c>
      <c r="K366" s="1"/>
      <c r="M366" s="6"/>
      <c r="N366" s="6"/>
    </row>
    <row r="367" spans="1:17" x14ac:dyDescent="0.2">
      <c r="A367" s="257"/>
      <c r="B367" t="s">
        <v>28</v>
      </c>
      <c r="C367" s="19">
        <f>$C$3</f>
        <v>0.06</v>
      </c>
      <c r="D367" s="19"/>
      <c r="F367" s="38" t="s">
        <v>69</v>
      </c>
      <c r="G367" s="7">
        <v>2</v>
      </c>
      <c r="H367" s="4">
        <f>SUMIF(I$374:I$385,G367,E$374:E$385)</f>
        <v>885709354.7121352</v>
      </c>
      <c r="I367" s="1">
        <f>H367/SUM(H$366:H$368)</f>
        <v>0.73169661127092467</v>
      </c>
      <c r="J367" s="6">
        <f>($C$369-$K$387)*I367</f>
        <v>75584436.30549702</v>
      </c>
      <c r="K367" s="1"/>
      <c r="M367" s="6"/>
      <c r="N367" s="6"/>
    </row>
    <row r="368" spans="1:17" x14ac:dyDescent="0.2">
      <c r="A368" s="257"/>
      <c r="B368" t="s">
        <v>16</v>
      </c>
      <c r="C368" s="20">
        <f>$C$4</f>
        <v>0.03</v>
      </c>
      <c r="D368" s="20"/>
      <c r="F368" t="s">
        <v>70</v>
      </c>
      <c r="G368" s="7">
        <v>3</v>
      </c>
      <c r="H368" s="4">
        <f>SUMIF(I$374:I$385,G368,E$374:E$385)</f>
        <v>0</v>
      </c>
      <c r="I368" s="1">
        <f>H368/SUM(H$366:H$368)</f>
        <v>0</v>
      </c>
      <c r="J368" s="6">
        <f>($C$369-$K$387)*I368</f>
        <v>0</v>
      </c>
      <c r="K368" s="1"/>
      <c r="M368" s="6"/>
      <c r="N368" s="6"/>
    </row>
    <row r="369" spans="1:37" x14ac:dyDescent="0.2">
      <c r="A369" s="257"/>
      <c r="B369" t="s">
        <v>31</v>
      </c>
      <c r="C369" s="6">
        <f>C366-C365</f>
        <v>154950360.77101946</v>
      </c>
      <c r="D369" s="6"/>
    </row>
    <row r="370" spans="1:37" x14ac:dyDescent="0.2">
      <c r="A370" s="257"/>
      <c r="B370" t="s">
        <v>59</v>
      </c>
      <c r="C370" s="16">
        <f>$C$7</f>
        <v>0.66666665999999997</v>
      </c>
      <c r="D370" s="16"/>
      <c r="S370" s="14"/>
      <c r="T370" s="2"/>
      <c r="U370" s="31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</row>
    <row r="371" spans="1:37" x14ac:dyDescent="0.2">
      <c r="A371" s="257"/>
      <c r="B371" t="s">
        <v>48</v>
      </c>
      <c r="C371" s="20">
        <f>((1+$C$4)^A365)-1</f>
        <v>0.51258972485511101</v>
      </c>
      <c r="D371" s="16"/>
    </row>
    <row r="372" spans="1:37" x14ac:dyDescent="0.2">
      <c r="A372" s="257"/>
    </row>
    <row r="373" spans="1:37" ht="49" thickBot="1" x14ac:dyDescent="0.25">
      <c r="A373" s="258" t="s">
        <v>51</v>
      </c>
      <c r="B373" s="22" t="s">
        <v>12</v>
      </c>
      <c r="C373" s="13" t="s">
        <v>15</v>
      </c>
      <c r="D373" s="13" t="s">
        <v>63</v>
      </c>
      <c r="E373" s="13" t="s">
        <v>13</v>
      </c>
      <c r="F373" s="13" t="s">
        <v>29</v>
      </c>
      <c r="G373" s="13" t="s">
        <v>50</v>
      </c>
      <c r="H373" s="13" t="s">
        <v>17</v>
      </c>
      <c r="I373" s="13" t="s">
        <v>52</v>
      </c>
      <c r="J373" s="13" t="s">
        <v>59</v>
      </c>
      <c r="K373" s="13" t="s">
        <v>60</v>
      </c>
      <c r="L373" s="13" t="s">
        <v>61</v>
      </c>
      <c r="M373" s="13" t="s">
        <v>58</v>
      </c>
      <c r="N373" s="13" t="s">
        <v>57</v>
      </c>
      <c r="O373" s="28" t="s">
        <v>25</v>
      </c>
      <c r="P373" s="28"/>
      <c r="Q373" s="28" t="s">
        <v>32</v>
      </c>
    </row>
    <row r="374" spans="1:37" ht="17" thickTop="1" x14ac:dyDescent="0.2">
      <c r="A374" s="258"/>
      <c r="B374" s="14" t="s">
        <v>0</v>
      </c>
      <c r="C374" s="2">
        <f t="shared" ref="C374:C385" si="213">VLOOKUP($B374,$B$9:$O$22,2,FALSE)*(1+$C$371)</f>
        <v>112023934.24343455</v>
      </c>
      <c r="D374" s="2">
        <f t="shared" ref="D374:D385" si="214">VLOOKUP($B374,$B$9:$O$22,3,FALSE)*(1+$C$371)</f>
        <v>22015612.499487601</v>
      </c>
      <c r="E374" s="4">
        <f t="shared" ref="E374:E385" si="215">C374-D374-F374</f>
        <v>2600247.1738668978</v>
      </c>
      <c r="F374" s="18">
        <f>'Opt 3 - Tier Allocation'!Q348</f>
        <v>87408074.570080042</v>
      </c>
      <c r="G374" s="1">
        <f t="shared" ref="G374:G385" si="216">1-H374</f>
        <v>0.97678846764820448</v>
      </c>
      <c r="H374" s="1">
        <f t="shared" ref="H374:H385" si="217">MAX(0,E374/C374)</f>
        <v>2.3211532351795544E-2</v>
      </c>
      <c r="I374" s="39">
        <f t="shared" ref="I374:I385" si="218">IF(H374&lt;0.15,1,IF(H374&gt;0.46,3,2))</f>
        <v>1</v>
      </c>
      <c r="J374" s="41">
        <f t="shared" ref="J374:J385" si="219">MIN($C$4,($C$3*0.5))*$C$7</f>
        <v>1.9999999799999998E-2</v>
      </c>
      <c r="K374" s="4">
        <f>J374*F374</f>
        <v>1748161.4739199858</v>
      </c>
      <c r="L374" s="40">
        <f>H374/SUMIF($I$374:$I$385,I374,$H$374:$H$385)</f>
        <v>3.576280516281425E-2</v>
      </c>
      <c r="M374" s="39">
        <f>L374*VLOOKUP(I374,$G$365:$J$368,4,FALSE)</f>
        <v>991194.92431139818</v>
      </c>
      <c r="N374" s="40">
        <f>M374/SUM($M$374:$M$385)</f>
        <v>9.5952818156407344E-3</v>
      </c>
      <c r="O374" s="16">
        <f>(K374+M374)/F374</f>
        <v>3.1339855175909238E-2</v>
      </c>
      <c r="P374" s="18"/>
      <c r="Q374" s="18">
        <f t="shared" ref="Q374:Q385" si="220">M374+K374+F374</f>
        <v>90147430.968311429</v>
      </c>
    </row>
    <row r="375" spans="1:37" ht="16" x14ac:dyDescent="0.2">
      <c r="A375" s="258"/>
      <c r="B375" s="14" t="s">
        <v>1</v>
      </c>
      <c r="C375" s="2">
        <f t="shared" si="213"/>
        <v>249526514.74940509</v>
      </c>
      <c r="D375" s="2">
        <f t="shared" si="214"/>
        <v>83545259.969215706</v>
      </c>
      <c r="E375" s="4">
        <f t="shared" si="215"/>
        <v>26583441.964940995</v>
      </c>
      <c r="F375" s="18">
        <f>'Opt 3 - Tier Allocation'!Q349</f>
        <v>139397812.8152484</v>
      </c>
      <c r="G375" s="1">
        <f t="shared" si="216"/>
        <v>0.89346446011303349</v>
      </c>
      <c r="H375" s="1">
        <f t="shared" si="217"/>
        <v>0.10653553988696655</v>
      </c>
      <c r="I375" s="39">
        <f t="shared" si="218"/>
        <v>1</v>
      </c>
      <c r="J375" s="41">
        <f t="shared" si="219"/>
        <v>1.9999999799999998E-2</v>
      </c>
      <c r="K375" s="4">
        <f t="shared" ref="K375:K385" si="221">J375*F375</f>
        <v>2787956.228425405</v>
      </c>
      <c r="L375" s="40">
        <f t="shared" ref="L375:L385" si="222">H375/SUMIF($I$374:$I$385,I375,$H$374:$H$385)</f>
        <v>0.16414296558055916</v>
      </c>
      <c r="M375" s="39">
        <f t="shared" ref="M375:M385" si="223">L375*VLOOKUP(I375,$G$365:$J$368,4,FALSE)</f>
        <v>4549354.3810160039</v>
      </c>
      <c r="N375" s="40">
        <f t="shared" ref="N375:N385" si="224">M375/SUM($M$374:$M$385)</f>
        <v>4.4040113901303996E-2</v>
      </c>
      <c r="O375" s="16">
        <f t="shared" ref="O375:O385" si="225">(K375+M375)/F375</f>
        <v>5.263576566417115E-2</v>
      </c>
      <c r="P375" s="18"/>
      <c r="Q375" s="18">
        <f t="shared" si="220"/>
        <v>146735123.4246898</v>
      </c>
    </row>
    <row r="376" spans="1:37" ht="16" x14ac:dyDescent="0.2">
      <c r="A376" s="258"/>
      <c r="B376" s="14" t="s">
        <v>2</v>
      </c>
      <c r="C376" s="2">
        <f t="shared" si="213"/>
        <v>169183822.99605241</v>
      </c>
      <c r="D376" s="2">
        <f t="shared" si="214"/>
        <v>42727916.981202997</v>
      </c>
      <c r="E376" s="4">
        <f t="shared" si="215"/>
        <v>11889287.157930613</v>
      </c>
      <c r="F376" s="18">
        <f>'Opt 3 - Tier Allocation'!Q350</f>
        <v>114566618.85691881</v>
      </c>
      <c r="G376" s="1">
        <f t="shared" si="216"/>
        <v>0.92972562655586743</v>
      </c>
      <c r="H376" s="1">
        <f t="shared" si="217"/>
        <v>7.0274373444132579E-2</v>
      </c>
      <c r="I376" s="39">
        <f t="shared" si="218"/>
        <v>1</v>
      </c>
      <c r="J376" s="41">
        <f t="shared" si="219"/>
        <v>1.9999999799999998E-2</v>
      </c>
      <c r="K376" s="4">
        <f t="shared" si="221"/>
        <v>2291332.3542250521</v>
      </c>
      <c r="L376" s="40">
        <f t="shared" si="222"/>
        <v>0.10827414094558692</v>
      </c>
      <c r="M376" s="39">
        <f t="shared" si="223"/>
        <v>3000904.947216881</v>
      </c>
      <c r="N376" s="40">
        <f t="shared" si="224"/>
        <v>2.9050318927430503E-2</v>
      </c>
      <c r="O376" s="16">
        <f t="shared" si="225"/>
        <v>4.6193536601192353E-2</v>
      </c>
      <c r="P376" s="18"/>
      <c r="Q376" s="18">
        <f t="shared" si="220"/>
        <v>119858856.15836075</v>
      </c>
    </row>
    <row r="377" spans="1:37" ht="16" x14ac:dyDescent="0.2">
      <c r="A377" s="258"/>
      <c r="B377" s="14" t="s">
        <v>3</v>
      </c>
      <c r="C377" s="2">
        <f t="shared" si="213"/>
        <v>722710724.04607821</v>
      </c>
      <c r="D377" s="2">
        <f t="shared" si="214"/>
        <v>259304042.6852223</v>
      </c>
      <c r="E377" s="4">
        <f t="shared" si="215"/>
        <v>216997112.88368639</v>
      </c>
      <c r="F377" s="18">
        <f>'Opt 3 - Tier Allocation'!Q351</f>
        <v>246409568.47716954</v>
      </c>
      <c r="G377" s="1">
        <f t="shared" si="216"/>
        <v>0.69974554733485428</v>
      </c>
      <c r="H377" s="1">
        <f t="shared" si="217"/>
        <v>0.30025445266514572</v>
      </c>
      <c r="I377" s="39">
        <f t="shared" si="218"/>
        <v>2</v>
      </c>
      <c r="J377" s="41">
        <f t="shared" si="219"/>
        <v>1.9999999799999998E-2</v>
      </c>
      <c r="K377" s="4">
        <f t="shared" si="221"/>
        <v>4928191.3202614766</v>
      </c>
      <c r="L377" s="40">
        <f>H377/SUMIF($I$374:$I$385,I377,$H$374:$H$385)</f>
        <v>0.2838427860526701</v>
      </c>
      <c r="M377" s="39">
        <f t="shared" si="223"/>
        <v>21454096.98317286</v>
      </c>
      <c r="N377" s="40">
        <f t="shared" si="224"/>
        <v>0.20768680468843684</v>
      </c>
      <c r="O377" s="16">
        <f t="shared" si="225"/>
        <v>0.10706681752043537</v>
      </c>
      <c r="P377" s="18"/>
      <c r="Q377" s="18">
        <f t="shared" si="220"/>
        <v>272791856.78060389</v>
      </c>
    </row>
    <row r="378" spans="1:37" ht="16" x14ac:dyDescent="0.2">
      <c r="A378" s="258"/>
      <c r="B378" s="14" t="s">
        <v>4</v>
      </c>
      <c r="C378" s="2">
        <f t="shared" si="213"/>
        <v>248409072.38767719</v>
      </c>
      <c r="D378" s="2">
        <f t="shared" si="214"/>
        <v>46865750.045862101</v>
      </c>
      <c r="E378" s="4">
        <f t="shared" si="215"/>
        <v>33610853.074901313</v>
      </c>
      <c r="F378" s="18">
        <f>'Opt 3 - Tier Allocation'!Q352</f>
        <v>167932469.26691377</v>
      </c>
      <c r="G378" s="1">
        <f t="shared" si="216"/>
        <v>0.86469554935398307</v>
      </c>
      <c r="H378" s="1">
        <f t="shared" si="217"/>
        <v>0.13530445064601693</v>
      </c>
      <c r="I378" s="39">
        <f t="shared" si="218"/>
        <v>1</v>
      </c>
      <c r="J378" s="41">
        <f t="shared" si="219"/>
        <v>1.9999999799999998E-2</v>
      </c>
      <c r="K378" s="4">
        <f t="shared" si="221"/>
        <v>3358649.3517517811</v>
      </c>
      <c r="L378" s="40">
        <f t="shared" si="222"/>
        <v>0.20846821453995071</v>
      </c>
      <c r="M378" s="39">
        <f t="shared" si="223"/>
        <v>5777864.3255622741</v>
      </c>
      <c r="N378" s="40">
        <f t="shared" si="224"/>
        <v>5.5932728403368673E-2</v>
      </c>
      <c r="O378" s="16">
        <f t="shared" si="225"/>
        <v>5.4405879441886698E-2</v>
      </c>
      <c r="P378" s="18"/>
      <c r="Q378" s="18">
        <f t="shared" si="220"/>
        <v>177068982.94422781</v>
      </c>
    </row>
    <row r="379" spans="1:37" ht="16" x14ac:dyDescent="0.2">
      <c r="A379" s="258"/>
      <c r="B379" s="14" t="s">
        <v>5</v>
      </c>
      <c r="C379" s="2">
        <f t="shared" si="213"/>
        <v>617080079.37964618</v>
      </c>
      <c r="D379" s="2">
        <f t="shared" si="214"/>
        <v>195818116.87846342</v>
      </c>
      <c r="E379" s="4">
        <f t="shared" si="215"/>
        <v>162268535.01086894</v>
      </c>
      <c r="F379" s="18">
        <f>'Opt 3 - Tier Allocation'!Q353</f>
        <v>258993427.49031386</v>
      </c>
      <c r="G379" s="1">
        <f t="shared" si="216"/>
        <v>0.73703812449431472</v>
      </c>
      <c r="H379" s="1">
        <f t="shared" si="217"/>
        <v>0.26296187550568534</v>
      </c>
      <c r="I379" s="39">
        <f t="shared" si="218"/>
        <v>2</v>
      </c>
      <c r="J379" s="41">
        <f t="shared" si="219"/>
        <v>1.9999999799999998E-2</v>
      </c>
      <c r="K379" s="4">
        <f t="shared" si="221"/>
        <v>5179868.4980075909</v>
      </c>
      <c r="L379" s="40">
        <f t="shared" si="222"/>
        <v>0.24858859113210241</v>
      </c>
      <c r="M379" s="39">
        <f t="shared" si="223"/>
        <v>18789428.532697637</v>
      </c>
      <c r="N379" s="40">
        <f t="shared" si="224"/>
        <v>0.18189142973197281</v>
      </c>
      <c r="O379" s="16">
        <f t="shared" si="225"/>
        <v>9.2547896921444703E-2</v>
      </c>
      <c r="P379" s="18"/>
      <c r="Q379" s="18">
        <f t="shared" si="220"/>
        <v>282962724.5210191</v>
      </c>
    </row>
    <row r="380" spans="1:37" ht="16" x14ac:dyDescent="0.2">
      <c r="A380" s="258"/>
      <c r="B380" s="14" t="s">
        <v>6</v>
      </c>
      <c r="C380" s="2">
        <f t="shared" si="213"/>
        <v>446751451.97865266</v>
      </c>
      <c r="D380" s="2">
        <f t="shared" si="214"/>
        <v>195035430.10912785</v>
      </c>
      <c r="E380" s="4">
        <f t="shared" si="215"/>
        <v>30050019.095751613</v>
      </c>
      <c r="F380" s="18">
        <f>'Opt 3 - Tier Allocation'!Q354</f>
        <v>221666002.77377319</v>
      </c>
      <c r="G380" s="1">
        <f t="shared" si="216"/>
        <v>0.93273660563908467</v>
      </c>
      <c r="H380" s="1">
        <f t="shared" si="217"/>
        <v>6.7263394360915274E-2</v>
      </c>
      <c r="I380" s="39">
        <f t="shared" si="218"/>
        <v>1</v>
      </c>
      <c r="J380" s="41">
        <f t="shared" si="219"/>
        <v>1.9999999799999998E-2</v>
      </c>
      <c r="K380" s="4">
        <f t="shared" si="221"/>
        <v>4433320.0111422632</v>
      </c>
      <c r="L380" s="40">
        <f>H380/SUMIF($I$374:$I$385,I380,$H$374:$H$385)</f>
        <v>0.10363502205113445</v>
      </c>
      <c r="M380" s="39">
        <f>L380*VLOOKUP(I380,$G$365:$J$368,4,FALSE)</f>
        <v>2872328.0338420984</v>
      </c>
      <c r="N380" s="40">
        <f t="shared" si="224"/>
        <v>2.7805627607331823E-2</v>
      </c>
      <c r="O380" s="16">
        <f t="shared" si="225"/>
        <v>3.2957909438373928E-2</v>
      </c>
      <c r="P380" s="18"/>
      <c r="Q380" s="18">
        <f t="shared" si="220"/>
        <v>228971650.81875756</v>
      </c>
    </row>
    <row r="381" spans="1:37" ht="16" x14ac:dyDescent="0.2">
      <c r="A381" s="258"/>
      <c r="B381" s="14" t="s">
        <v>7</v>
      </c>
      <c r="C381" s="2">
        <f t="shared" si="213"/>
        <v>497418586.14692611</v>
      </c>
      <c r="D381" s="2">
        <f t="shared" si="214"/>
        <v>199703767.17896175</v>
      </c>
      <c r="E381" s="4">
        <f t="shared" si="215"/>
        <v>98785887.14059341</v>
      </c>
      <c r="F381" s="18">
        <f>'Opt 3 - Tier Allocation'!Q355</f>
        <v>198928931.82737094</v>
      </c>
      <c r="G381" s="1">
        <f t="shared" si="216"/>
        <v>0.80140290312470486</v>
      </c>
      <c r="H381" s="1">
        <f t="shared" si="217"/>
        <v>0.19859709687529511</v>
      </c>
      <c r="I381" s="39">
        <f t="shared" si="218"/>
        <v>2</v>
      </c>
      <c r="J381" s="41">
        <f t="shared" si="219"/>
        <v>1.9999999799999998E-2</v>
      </c>
      <c r="K381" s="4">
        <f t="shared" si="221"/>
        <v>3978578.5967616322</v>
      </c>
      <c r="L381" s="40">
        <f t="shared" si="222"/>
        <v>0.18774193947399001</v>
      </c>
      <c r="M381" s="39">
        <f t="shared" si="223"/>
        <v>14190368.666042274</v>
      </c>
      <c r="N381" s="40">
        <f t="shared" si="224"/>
        <v>0.13737014090654956</v>
      </c>
      <c r="O381" s="16">
        <f t="shared" si="225"/>
        <v>9.1333860268102099E-2</v>
      </c>
      <c r="P381" s="18"/>
      <c r="Q381" s="18">
        <f t="shared" si="220"/>
        <v>217097879.09017485</v>
      </c>
    </row>
    <row r="382" spans="1:37" ht="16" x14ac:dyDescent="0.2">
      <c r="A382" s="258"/>
      <c r="B382" s="14" t="s">
        <v>8</v>
      </c>
      <c r="C382" s="2">
        <f t="shared" si="213"/>
        <v>1377193793.3338048</v>
      </c>
      <c r="D382" s="2">
        <f t="shared" si="214"/>
        <v>508112205.54797101</v>
      </c>
      <c r="E382" s="4">
        <f t="shared" si="215"/>
        <v>407657819.67698646</v>
      </c>
      <c r="F382" s="18">
        <f>'Opt 3 - Tier Allocation'!Q356</f>
        <v>461423768.10884738</v>
      </c>
      <c r="G382" s="1">
        <f t="shared" si="216"/>
        <v>0.70399385936080949</v>
      </c>
      <c r="H382" s="1">
        <f t="shared" si="217"/>
        <v>0.29600614063919045</v>
      </c>
      <c r="I382" s="39">
        <f t="shared" si="218"/>
        <v>2</v>
      </c>
      <c r="J382" s="41">
        <f t="shared" si="219"/>
        <v>1.9999999799999998E-2</v>
      </c>
      <c r="K382" s="4">
        <f t="shared" si="221"/>
        <v>9228475.2698921934</v>
      </c>
      <c r="L382" s="40">
        <f t="shared" si="222"/>
        <v>0.27982668334123745</v>
      </c>
      <c r="M382" s="39">
        <f t="shared" si="223"/>
        <v>21150542.123584244</v>
      </c>
      <c r="N382" s="40">
        <f t="shared" si="224"/>
        <v>0.20474823594396557</v>
      </c>
      <c r="O382" s="16">
        <f t="shared" si="225"/>
        <v>6.5837565147511407E-2</v>
      </c>
      <c r="P382" s="18"/>
      <c r="Q382" s="18">
        <f t="shared" si="220"/>
        <v>491802785.50232381</v>
      </c>
    </row>
    <row r="383" spans="1:37" ht="16" x14ac:dyDescent="0.2">
      <c r="A383" s="258"/>
      <c r="B383" s="14" t="s">
        <v>9</v>
      </c>
      <c r="C383" s="2">
        <f t="shared" si="213"/>
        <v>140225260.58827403</v>
      </c>
      <c r="D383" s="2">
        <f t="shared" si="214"/>
        <v>60455257.536391154</v>
      </c>
      <c r="E383" s="4">
        <f t="shared" si="215"/>
        <v>3774629.6240736097</v>
      </c>
      <c r="F383" s="18">
        <f>'Opt 3 - Tier Allocation'!Q357</f>
        <v>75995373.427809268</v>
      </c>
      <c r="G383" s="1">
        <f t="shared" si="216"/>
        <v>0.97308167153166092</v>
      </c>
      <c r="H383" s="1">
        <f t="shared" si="217"/>
        <v>2.691832846833913E-2</v>
      </c>
      <c r="I383" s="39">
        <f t="shared" si="218"/>
        <v>1</v>
      </c>
      <c r="J383" s="41">
        <f t="shared" si="219"/>
        <v>1.9999999799999998E-2</v>
      </c>
      <c r="K383" s="4">
        <f t="shared" si="221"/>
        <v>1519907.4533571105</v>
      </c>
      <c r="L383" s="40">
        <f t="shared" si="222"/>
        <v>4.1473993260396705E-2</v>
      </c>
      <c r="M383" s="39">
        <f t="shared" si="223"/>
        <v>1149485.0983718364</v>
      </c>
      <c r="N383" s="40">
        <f t="shared" si="224"/>
        <v>1.1127612935891269E-2</v>
      </c>
      <c r="O383" s="16">
        <f t="shared" si="225"/>
        <v>3.5125724518805065E-2</v>
      </c>
      <c r="P383" s="18"/>
      <c r="Q383" s="18">
        <f t="shared" si="220"/>
        <v>78664765.979538217</v>
      </c>
    </row>
    <row r="384" spans="1:37" ht="16" x14ac:dyDescent="0.2">
      <c r="A384" s="258"/>
      <c r="B384" s="14" t="s">
        <v>10</v>
      </c>
      <c r="C384" s="2">
        <f t="shared" si="213"/>
        <v>1880761105.9076331</v>
      </c>
      <c r="D384" s="2">
        <f t="shared" si="214"/>
        <v>1247023279.8455503</v>
      </c>
      <c r="E384" s="4">
        <f t="shared" si="215"/>
        <v>179608231.65011466</v>
      </c>
      <c r="F384" s="18">
        <f>'Opt 3 - Tier Allocation'!Q358</f>
        <v>454129594.41196811</v>
      </c>
      <c r="G384" s="1">
        <f t="shared" si="216"/>
        <v>0.90450236817108265</v>
      </c>
      <c r="H384" s="1">
        <f t="shared" si="217"/>
        <v>9.5497631828917393E-2</v>
      </c>
      <c r="I384" s="39">
        <f t="shared" si="218"/>
        <v>1</v>
      </c>
      <c r="J384" s="41">
        <f t="shared" si="219"/>
        <v>1.9999999799999998E-2</v>
      </c>
      <c r="K384" s="4">
        <f t="shared" si="221"/>
        <v>9082591.7974134423</v>
      </c>
      <c r="L384" s="40">
        <f t="shared" si="222"/>
        <v>0.14713648150607994</v>
      </c>
      <c r="M384" s="39">
        <f t="shared" si="223"/>
        <v>4078005.9893486225</v>
      </c>
      <c r="N384" s="40">
        <f t="shared" si="224"/>
        <v>3.9477216593754173E-2</v>
      </c>
      <c r="O384" s="16">
        <f t="shared" si="225"/>
        <v>2.8979828552691281E-2</v>
      </c>
      <c r="P384" s="18"/>
      <c r="Q384" s="18">
        <f t="shared" si="220"/>
        <v>467290192.19873017</v>
      </c>
    </row>
    <row r="385" spans="1:37" ht="16" x14ac:dyDescent="0.2">
      <c r="A385" s="258"/>
      <c r="B385" s="14" t="s">
        <v>11</v>
      </c>
      <c r="C385" s="2">
        <f t="shared" si="213"/>
        <v>295568435.41020691</v>
      </c>
      <c r="D385" s="2">
        <f t="shared" si="214"/>
        <v>103252966.64398256</v>
      </c>
      <c r="E385" s="4">
        <f t="shared" si="215"/>
        <v>36661097.942318559</v>
      </c>
      <c r="F385" s="18">
        <f>'Opt 3 - Tier Allocation'!Q359</f>
        <v>155654370.8239058</v>
      </c>
      <c r="G385" s="1">
        <f t="shared" si="216"/>
        <v>0.87596409646571982</v>
      </c>
      <c r="H385" s="1">
        <f t="shared" si="217"/>
        <v>0.12403590353428022</v>
      </c>
      <c r="I385" s="39">
        <f t="shared" si="218"/>
        <v>1</v>
      </c>
      <c r="J385" s="41">
        <f t="shared" si="219"/>
        <v>1.9999999799999998E-2</v>
      </c>
      <c r="K385" s="4">
        <f t="shared" si="221"/>
        <v>3113087.3853472415</v>
      </c>
      <c r="L385" s="40">
        <f t="shared" si="222"/>
        <v>0.19110637695347793</v>
      </c>
      <c r="M385" s="39">
        <f t="shared" si="223"/>
        <v>5296667.0253481297</v>
      </c>
      <c r="N385" s="40">
        <f t="shared" si="224"/>
        <v>5.1274488544354194E-2</v>
      </c>
      <c r="O385" s="16">
        <f t="shared" si="225"/>
        <v>5.4028385879439624E-2</v>
      </c>
      <c r="P385" s="18"/>
      <c r="Q385" s="18">
        <f t="shared" si="220"/>
        <v>164064125.23460117</v>
      </c>
    </row>
    <row r="386" spans="1:37" ht="16" x14ac:dyDescent="0.2">
      <c r="A386" s="258"/>
      <c r="B386" s="14"/>
      <c r="C386" s="2"/>
      <c r="D386" s="2"/>
      <c r="E386" s="4"/>
      <c r="F386" s="18"/>
      <c r="G386" s="1"/>
      <c r="H386" s="1"/>
      <c r="I386" s="39"/>
      <c r="J386" s="39"/>
      <c r="K386" s="39"/>
      <c r="L386" s="39"/>
      <c r="M386" s="39"/>
      <c r="N386" s="39"/>
      <c r="O386" s="16"/>
      <c r="P386" s="16"/>
      <c r="Q386" s="16"/>
    </row>
    <row r="387" spans="1:37" x14ac:dyDescent="0.2">
      <c r="A387" s="258"/>
      <c r="B387" s="15" t="s">
        <v>14</v>
      </c>
      <c r="C387" s="30">
        <f>SUM(C374:C385)</f>
        <v>6756852781.1677904</v>
      </c>
      <c r="D387" s="30">
        <f>SUM(D374:D385)</f>
        <v>2963859605.9214387</v>
      </c>
      <c r="E387" s="30">
        <f>SUM(E374:E385)</f>
        <v>1210487162.3960333</v>
      </c>
      <c r="F387" s="30">
        <f>SUM(F374:F385)</f>
        <v>2582506012.8503194</v>
      </c>
      <c r="G387" s="11">
        <f>1-H387</f>
        <v>0.8208504459694882</v>
      </c>
      <c r="H387" s="11">
        <f>MAX(0,E387/C387)</f>
        <v>0.17914955403051183</v>
      </c>
      <c r="I387" s="11"/>
      <c r="J387" s="11"/>
      <c r="K387" s="30">
        <f>SUM(K374:K385)</f>
        <v>51650119.740505181</v>
      </c>
      <c r="L387" s="11"/>
      <c r="M387" s="30">
        <f>SUM(M374:M385)</f>
        <v>103300241.03051424</v>
      </c>
      <c r="N387" s="11"/>
      <c r="O387" s="16"/>
      <c r="P387" s="16"/>
      <c r="Q387" s="30">
        <f>SUM(Q374:Q385)</f>
        <v>2737456373.6213384</v>
      </c>
    </row>
    <row r="388" spans="1:37" x14ac:dyDescent="0.2">
      <c r="G388" s="21">
        <f>SUM(G374:G385)</f>
        <v>10.293139279793321</v>
      </c>
      <c r="H388" s="21">
        <f>SUM(H374:H385)</f>
        <v>1.7068607202066803</v>
      </c>
      <c r="I388" s="21"/>
      <c r="J388" s="21"/>
      <c r="K388" s="21"/>
      <c r="L388" s="21"/>
      <c r="M388" s="21"/>
      <c r="N388" s="21"/>
      <c r="O388" s="21"/>
      <c r="P388" s="21"/>
      <c r="Q388" s="21"/>
    </row>
    <row r="391" spans="1:37" ht="48" x14ac:dyDescent="0.2">
      <c r="A391" s="257">
        <v>15</v>
      </c>
      <c r="B391" t="s">
        <v>26</v>
      </c>
      <c r="C391" s="4">
        <f>'Opt 3 - Tier Allocation'!C366</f>
        <v>2737456373.6213384</v>
      </c>
      <c r="D391" s="4"/>
      <c r="F391" s="48" t="s">
        <v>68</v>
      </c>
      <c r="G391" s="47" t="s">
        <v>62</v>
      </c>
      <c r="H391" s="48" t="s">
        <v>55</v>
      </c>
      <c r="I391" s="48" t="s">
        <v>54</v>
      </c>
      <c r="J391" s="48" t="s">
        <v>56</v>
      </c>
    </row>
    <row r="392" spans="1:37" x14ac:dyDescent="0.2">
      <c r="A392" s="257"/>
      <c r="B392" t="s">
        <v>27</v>
      </c>
      <c r="C392" s="6">
        <f>C391*(1+C393)</f>
        <v>2901703756.038619</v>
      </c>
      <c r="D392" s="6"/>
      <c r="F392" t="s">
        <v>53</v>
      </c>
      <c r="G392" s="7">
        <v>1</v>
      </c>
      <c r="H392" s="4">
        <f>SUMIF(I$400:I$411,G392,E$400:E$411)</f>
        <v>320972840.64221454</v>
      </c>
      <c r="I392" s="1">
        <f>H392/SUM(H$392:H$394)</f>
        <v>0.27449374836591839</v>
      </c>
      <c r="J392" s="6">
        <f>($C$395-$K$413)*I392</f>
        <v>30056586.58962284</v>
      </c>
      <c r="K392" s="1"/>
      <c r="M392" s="6"/>
      <c r="N392" s="6"/>
    </row>
    <row r="393" spans="1:37" x14ac:dyDescent="0.2">
      <c r="A393" s="257"/>
      <c r="B393" t="s">
        <v>28</v>
      </c>
      <c r="C393" s="19">
        <f>$C$3</f>
        <v>0.06</v>
      </c>
      <c r="D393" s="19"/>
      <c r="F393" s="38" t="s">
        <v>69</v>
      </c>
      <c r="G393" s="7">
        <v>2</v>
      </c>
      <c r="H393" s="4">
        <f>SUMIF(I$400:I$411,G393,E$400:E$411)</f>
        <v>848353756.24019027</v>
      </c>
      <c r="I393" s="1">
        <f>H393/SUM(H$392:H$394)</f>
        <v>0.72550625163408156</v>
      </c>
      <c r="J393" s="6">
        <f>($C$395-$K$413)*I393</f>
        <v>79441668.902722344</v>
      </c>
      <c r="K393" s="1"/>
      <c r="M393" s="6"/>
      <c r="N393" s="6"/>
    </row>
    <row r="394" spans="1:37" x14ac:dyDescent="0.2">
      <c r="A394" s="257"/>
      <c r="B394" t="s">
        <v>16</v>
      </c>
      <c r="C394" s="20">
        <f>$C$4</f>
        <v>0.03</v>
      </c>
      <c r="D394" s="20"/>
      <c r="F394" t="s">
        <v>70</v>
      </c>
      <c r="G394" s="7">
        <v>3</v>
      </c>
      <c r="H394" s="4">
        <f>SUMIF(I$400:I$411,G394,E$400:E$411)</f>
        <v>0</v>
      </c>
      <c r="I394" s="1">
        <f>H394/SUM(H$392:H$394)</f>
        <v>0</v>
      </c>
      <c r="J394" s="6">
        <f>($C$395-$K$413)*I394</f>
        <v>0</v>
      </c>
      <c r="K394" s="1"/>
      <c r="M394" s="6"/>
      <c r="N394" s="6"/>
    </row>
    <row r="395" spans="1:37" x14ac:dyDescent="0.2">
      <c r="A395" s="257"/>
      <c r="B395" t="s">
        <v>31</v>
      </c>
      <c r="C395" s="6">
        <f>C392-C391</f>
        <v>164247382.41728067</v>
      </c>
      <c r="D395" s="6"/>
    </row>
    <row r="396" spans="1:37" x14ac:dyDescent="0.2">
      <c r="A396" s="257"/>
      <c r="B396" t="s">
        <v>59</v>
      </c>
      <c r="C396" s="16">
        <f>$C$7</f>
        <v>0.66666665999999997</v>
      </c>
      <c r="D396" s="16"/>
      <c r="S396" s="14"/>
      <c r="T396" s="2"/>
      <c r="U396" s="31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</row>
    <row r="397" spans="1:37" x14ac:dyDescent="0.2">
      <c r="A397" s="257"/>
      <c r="B397" t="s">
        <v>48</v>
      </c>
      <c r="C397" s="20">
        <f>((1+$C$4)^A391)-1</f>
        <v>0.55796741660076443</v>
      </c>
      <c r="D397" s="16"/>
    </row>
    <row r="398" spans="1:37" x14ac:dyDescent="0.2">
      <c r="A398" s="257"/>
    </row>
    <row r="399" spans="1:37" ht="49" thickBot="1" x14ac:dyDescent="0.25">
      <c r="A399" s="258" t="s">
        <v>51</v>
      </c>
      <c r="B399" s="22" t="s">
        <v>12</v>
      </c>
      <c r="C399" s="13" t="s">
        <v>15</v>
      </c>
      <c r="D399" s="13" t="s">
        <v>63</v>
      </c>
      <c r="E399" s="13" t="s">
        <v>13</v>
      </c>
      <c r="F399" s="13" t="s">
        <v>29</v>
      </c>
      <c r="G399" s="13" t="s">
        <v>50</v>
      </c>
      <c r="H399" s="13" t="s">
        <v>17</v>
      </c>
      <c r="I399" s="13" t="s">
        <v>52</v>
      </c>
      <c r="J399" s="13" t="s">
        <v>59</v>
      </c>
      <c r="K399" s="13" t="s">
        <v>60</v>
      </c>
      <c r="L399" s="13" t="s">
        <v>61</v>
      </c>
      <c r="M399" s="13" t="s">
        <v>58</v>
      </c>
      <c r="N399" s="13" t="s">
        <v>57</v>
      </c>
      <c r="O399" s="28" t="s">
        <v>25</v>
      </c>
      <c r="P399" s="28"/>
      <c r="Q399" s="28" t="s">
        <v>32</v>
      </c>
    </row>
    <row r="400" spans="1:37" ht="17" thickTop="1" x14ac:dyDescent="0.2">
      <c r="A400" s="258"/>
      <c r="B400" s="14" t="s">
        <v>0</v>
      </c>
      <c r="C400" s="2">
        <f t="shared" ref="C400:C411" si="226">VLOOKUP($B400,$B$9:$O$22,2,FALSE)*(1+$C$397)</f>
        <v>115384652.27073759</v>
      </c>
      <c r="D400" s="2">
        <f t="shared" ref="D400:D411" si="227">VLOOKUP($B400,$B$9:$O$22,3,FALSE)*(1+$C$397)</f>
        <v>22676080.874472231</v>
      </c>
      <c r="E400" s="4">
        <f t="shared" ref="E400:E411" si="228">C400-D400-F400</f>
        <v>2561140.4279539287</v>
      </c>
      <c r="F400" s="18">
        <f>'Opt 3 - Tier Allocation'!Q374</f>
        <v>90147430.968311429</v>
      </c>
      <c r="G400" s="1">
        <f t="shared" ref="G400:G411" si="229">1-H400</f>
        <v>0.97780345672018421</v>
      </c>
      <c r="H400" s="1">
        <f t="shared" ref="H400:H411" si="230">MAX(0,E400/C400)</f>
        <v>2.2196543279815847E-2</v>
      </c>
      <c r="I400" s="39">
        <f>IF(H400&lt;0.15,1,IF(H400&gt;0.46,3,2))</f>
        <v>1</v>
      </c>
      <c r="J400" s="41">
        <f t="shared" ref="J400:J411" si="231">MIN($C$4,($C$3*0.5))*$C$7</f>
        <v>1.9999999799999998E-2</v>
      </c>
      <c r="K400" s="4">
        <f>J400*F400</f>
        <v>1802948.6013367423</v>
      </c>
      <c r="L400" s="40">
        <f>H400/SUMIF($I$400:$I$411,I400,$H$400:$H$411)</f>
        <v>3.7436245559316537E-2</v>
      </c>
      <c r="M400" s="39">
        <f>L400*VLOOKUP(I400,$G$391:$J$394,4,FALSE)</f>
        <v>1125205.756243981</v>
      </c>
      <c r="N400" s="40">
        <f>M400/SUM($M$400:$M$411)</f>
        <v>1.0276015368323763E-2</v>
      </c>
      <c r="O400" s="16">
        <f>(K400+M400)/F400</f>
        <v>3.2481839206377677E-2</v>
      </c>
      <c r="P400" s="18"/>
      <c r="Q400" s="18">
        <f t="shared" ref="Q400:Q411" si="232">M400+K400+F400</f>
        <v>93075585.32589215</v>
      </c>
    </row>
    <row r="401" spans="1:17" ht="16" x14ac:dyDescent="0.2">
      <c r="A401" s="258"/>
      <c r="B401" s="14" t="s">
        <v>1</v>
      </c>
      <c r="C401" s="2">
        <f t="shared" si="226"/>
        <v>257012310.19188726</v>
      </c>
      <c r="D401" s="2">
        <f t="shared" si="227"/>
        <v>86051617.768292174</v>
      </c>
      <c r="E401" s="4">
        <f t="shared" si="228"/>
        <v>24225568.998905271</v>
      </c>
      <c r="F401" s="18">
        <f>'Opt 3 - Tier Allocation'!Q375</f>
        <v>146735123.4246898</v>
      </c>
      <c r="G401" s="1">
        <f t="shared" si="229"/>
        <v>0.90574160054505448</v>
      </c>
      <c r="H401" s="1">
        <f t="shared" si="230"/>
        <v>9.4258399454945505E-2</v>
      </c>
      <c r="I401" s="39">
        <f t="shared" ref="I401:I411" si="233">IF(H401&lt;0.15,1,IF(H401&gt;0.46,3,2))</f>
        <v>1</v>
      </c>
      <c r="J401" s="41">
        <f t="shared" si="231"/>
        <v>1.9999999799999998E-2</v>
      </c>
      <c r="K401" s="4">
        <f t="shared" ref="K401:K411" si="234">J401*F401</f>
        <v>2934702.4391467711</v>
      </c>
      <c r="L401" s="40">
        <f t="shared" ref="L401:L411" si="235">H401/SUMIF($I$400:$I$411,I401,$H$400:$H$411)</f>
        <v>0.1589743296305173</v>
      </c>
      <c r="M401" s="39">
        <f t="shared" ref="M401:M411" si="236">L401*VLOOKUP(I401,$G$391:$J$394,4,FALSE)</f>
        <v>4778225.7040668875</v>
      </c>
      <c r="N401" s="40">
        <f t="shared" ref="N401:N411" si="237">M401/SUM($M$400:$M$411)</f>
        <v>4.3637459634239782E-2</v>
      </c>
      <c r="O401" s="16">
        <f t="shared" ref="O401:O411" si="238">(K401+M401)/F401</f>
        <v>5.2563612332205079E-2</v>
      </c>
      <c r="P401" s="18"/>
      <c r="Q401" s="18">
        <f t="shared" si="232"/>
        <v>154448051.56790346</v>
      </c>
    </row>
    <row r="402" spans="1:17" ht="16" x14ac:dyDescent="0.2">
      <c r="A402" s="258"/>
      <c r="B402" s="14" t="s">
        <v>2</v>
      </c>
      <c r="C402" s="2">
        <f t="shared" si="226"/>
        <v>174259337.68593398</v>
      </c>
      <c r="D402" s="2">
        <f t="shared" si="227"/>
        <v>44009754.490639091</v>
      </c>
      <c r="E402" s="4">
        <f t="shared" si="228"/>
        <v>10390727.036934137</v>
      </c>
      <c r="F402" s="18">
        <f>'Opt 3 - Tier Allocation'!Q376</f>
        <v>119858856.15836075</v>
      </c>
      <c r="G402" s="1">
        <f t="shared" si="229"/>
        <v>0.94037205021597603</v>
      </c>
      <c r="H402" s="1">
        <f t="shared" si="230"/>
        <v>5.9627949784023915E-2</v>
      </c>
      <c r="I402" s="39">
        <f t="shared" si="233"/>
        <v>1</v>
      </c>
      <c r="J402" s="41">
        <f t="shared" si="231"/>
        <v>1.9999999799999998E-2</v>
      </c>
      <c r="K402" s="4">
        <f t="shared" si="234"/>
        <v>2397177.0991954436</v>
      </c>
      <c r="L402" s="40">
        <f t="shared" si="235"/>
        <v>0.1005673064572708</v>
      </c>
      <c r="M402" s="39">
        <f t="shared" si="236"/>
        <v>3022709.9546180959</v>
      </c>
      <c r="N402" s="40">
        <f t="shared" si="237"/>
        <v>2.7605096912520291E-2</v>
      </c>
      <c r="O402" s="16">
        <f t="shared" si="238"/>
        <v>4.5218911872916913E-2</v>
      </c>
      <c r="P402" s="18"/>
      <c r="Q402" s="18">
        <f t="shared" si="232"/>
        <v>125278743.2121743</v>
      </c>
    </row>
    <row r="403" spans="1:17" ht="16" x14ac:dyDescent="0.2">
      <c r="A403" s="258"/>
      <c r="B403" s="14" t="s">
        <v>3</v>
      </c>
      <c r="C403" s="2">
        <f t="shared" si="226"/>
        <v>744392045.76746058</v>
      </c>
      <c r="D403" s="2">
        <f t="shared" si="227"/>
        <v>267083163.96577901</v>
      </c>
      <c r="E403" s="4">
        <f t="shared" si="228"/>
        <v>204517025.02107769</v>
      </c>
      <c r="F403" s="18">
        <f>'Opt 3 - Tier Allocation'!Q377</f>
        <v>272791856.78060389</v>
      </c>
      <c r="G403" s="1">
        <f t="shared" si="229"/>
        <v>0.72525629984368956</v>
      </c>
      <c r="H403" s="1">
        <f t="shared" si="230"/>
        <v>0.27474370015631044</v>
      </c>
      <c r="I403" s="39">
        <f t="shared" si="233"/>
        <v>2</v>
      </c>
      <c r="J403" s="41">
        <f t="shared" si="231"/>
        <v>1.9999999799999998E-2</v>
      </c>
      <c r="K403" s="4">
        <f t="shared" si="234"/>
        <v>5455837.0810537059</v>
      </c>
      <c r="L403" s="40">
        <f t="shared" si="235"/>
        <v>0.28284736379981656</v>
      </c>
      <c r="M403" s="39">
        <f t="shared" si="236"/>
        <v>22469866.624992881</v>
      </c>
      <c r="N403" s="40">
        <f t="shared" si="237"/>
        <v>0.20520753069498635</v>
      </c>
      <c r="O403" s="16">
        <f t="shared" si="238"/>
        <v>0.1023700048660403</v>
      </c>
      <c r="P403" s="18"/>
      <c r="Q403" s="18">
        <f t="shared" si="232"/>
        <v>300717560.48665047</v>
      </c>
    </row>
    <row r="404" spans="1:17" ht="16" x14ac:dyDescent="0.2">
      <c r="A404" s="258"/>
      <c r="B404" s="14" t="s">
        <v>4</v>
      </c>
      <c r="C404" s="2">
        <f t="shared" si="226"/>
        <v>255861344.55930755</v>
      </c>
      <c r="D404" s="2">
        <f t="shared" si="227"/>
        <v>48271722.547237962</v>
      </c>
      <c r="E404" s="4">
        <f t="shared" si="228"/>
        <v>30520639.067841768</v>
      </c>
      <c r="F404" s="18">
        <f>'Opt 3 - Tier Allocation'!Q378</f>
        <v>177068982.94422781</v>
      </c>
      <c r="G404" s="1">
        <f t="shared" si="229"/>
        <v>0.88071414570102358</v>
      </c>
      <c r="H404" s="1">
        <f t="shared" si="230"/>
        <v>0.11928585429897644</v>
      </c>
      <c r="I404" s="39">
        <f t="shared" si="233"/>
        <v>1</v>
      </c>
      <c r="J404" s="41">
        <f t="shared" si="231"/>
        <v>1.9999999799999998E-2</v>
      </c>
      <c r="K404" s="4">
        <f t="shared" si="234"/>
        <v>3541379.6234707595</v>
      </c>
      <c r="L404" s="40">
        <f t="shared" si="235"/>
        <v>0.20118513396408386</v>
      </c>
      <c r="M404" s="39">
        <f>L404*VLOOKUP(I404,$G$391:$J$394,4,FALSE)</f>
        <v>6046938.3995363573</v>
      </c>
      <c r="N404" s="40">
        <f t="shared" si="237"/>
        <v>5.5224061537300813E-2</v>
      </c>
      <c r="O404" s="16">
        <f t="shared" si="238"/>
        <v>5.4150184089706954E-2</v>
      </c>
      <c r="P404" s="18"/>
      <c r="Q404" s="18">
        <f t="shared" si="232"/>
        <v>186657300.96723494</v>
      </c>
    </row>
    <row r="405" spans="1:17" ht="16" x14ac:dyDescent="0.2">
      <c r="A405" s="258"/>
      <c r="B405" s="14" t="s">
        <v>5</v>
      </c>
      <c r="C405" s="2">
        <f t="shared" si="226"/>
        <v>635592481.76103568</v>
      </c>
      <c r="D405" s="2">
        <f t="shared" si="227"/>
        <v>201692660.38481733</v>
      </c>
      <c r="E405" s="4">
        <f t="shared" si="228"/>
        <v>150937096.85519922</v>
      </c>
      <c r="F405" s="18">
        <f>'Opt 3 - Tier Allocation'!Q379</f>
        <v>282962724.5210191</v>
      </c>
      <c r="G405" s="1">
        <f t="shared" si="229"/>
        <v>0.76252535832866064</v>
      </c>
      <c r="H405" s="1">
        <f t="shared" si="230"/>
        <v>0.2374746416713393</v>
      </c>
      <c r="I405" s="39">
        <f t="shared" si="233"/>
        <v>2</v>
      </c>
      <c r="J405" s="41">
        <f t="shared" si="231"/>
        <v>1.9999999799999998E-2</v>
      </c>
      <c r="K405" s="4">
        <f t="shared" si="234"/>
        <v>5659254.4338278361</v>
      </c>
      <c r="L405" s="40">
        <f t="shared" si="235"/>
        <v>0.24447904111297095</v>
      </c>
      <c r="M405" s="39">
        <f t="shared" si="236"/>
        <v>19421823.037751682</v>
      </c>
      <c r="N405" s="40">
        <f t="shared" si="237"/>
        <v>0.17737107272096608</v>
      </c>
      <c r="O405" s="16">
        <f t="shared" si="238"/>
        <v>8.8637390363112786E-2</v>
      </c>
      <c r="P405" s="18"/>
      <c r="Q405" s="18">
        <f t="shared" si="232"/>
        <v>308043801.99259859</v>
      </c>
    </row>
    <row r="406" spans="1:17" ht="16" x14ac:dyDescent="0.2">
      <c r="A406" s="258"/>
      <c r="B406" s="14" t="s">
        <v>6</v>
      </c>
      <c r="C406" s="2">
        <f t="shared" si="226"/>
        <v>460153995.53801227</v>
      </c>
      <c r="D406" s="2">
        <f t="shared" si="227"/>
        <v>200886493.0124017</v>
      </c>
      <c r="E406" s="4">
        <f t="shared" si="228"/>
        <v>30295851.706853002</v>
      </c>
      <c r="F406" s="18">
        <f>'Opt 3 - Tier Allocation'!Q380</f>
        <v>228971650.81875756</v>
      </c>
      <c r="G406" s="1">
        <f t="shared" si="229"/>
        <v>0.93416149375942925</v>
      </c>
      <c r="H406" s="1">
        <f t="shared" si="230"/>
        <v>6.583850624057079E-2</v>
      </c>
      <c r="I406" s="39">
        <f t="shared" si="233"/>
        <v>1</v>
      </c>
      <c r="J406" s="41">
        <f t="shared" si="231"/>
        <v>1.9999999799999998E-2</v>
      </c>
      <c r="K406" s="4">
        <f t="shared" si="234"/>
        <v>4579432.9705808209</v>
      </c>
      <c r="L406" s="40">
        <f t="shared" si="235"/>
        <v>0.11104190665227992</v>
      </c>
      <c r="M406" s="39">
        <f t="shared" si="236"/>
        <v>3337540.6823710678</v>
      </c>
      <c r="N406" s="40">
        <f t="shared" si="237"/>
        <v>3.0480309182682724E-2</v>
      </c>
      <c r="O406" s="16">
        <f t="shared" si="238"/>
        <v>3.4576217731069975E-2</v>
      </c>
      <c r="P406" s="18"/>
      <c r="Q406" s="18">
        <f t="shared" si="232"/>
        <v>236888624.47170946</v>
      </c>
    </row>
    <row r="407" spans="1:17" ht="16" x14ac:dyDescent="0.2">
      <c r="A407" s="258"/>
      <c r="B407" s="14" t="s">
        <v>7</v>
      </c>
      <c r="C407" s="2">
        <f t="shared" si="226"/>
        <v>512341143.73133391</v>
      </c>
      <c r="D407" s="2">
        <f t="shared" si="227"/>
        <v>205694880.1943306</v>
      </c>
      <c r="E407" s="4">
        <f t="shared" si="228"/>
        <v>89548384.446828425</v>
      </c>
      <c r="F407" s="18">
        <f>'Opt 3 - Tier Allocation'!Q381</f>
        <v>217097879.09017485</v>
      </c>
      <c r="G407" s="1">
        <f t="shared" si="229"/>
        <v>0.82521726872322665</v>
      </c>
      <c r="H407" s="1">
        <f t="shared" si="230"/>
        <v>0.1747827312767733</v>
      </c>
      <c r="I407" s="39">
        <f t="shared" si="233"/>
        <v>2</v>
      </c>
      <c r="J407" s="41">
        <f t="shared" si="231"/>
        <v>1.9999999799999998E-2</v>
      </c>
      <c r="K407" s="4">
        <f t="shared" si="234"/>
        <v>4341957.5383839207</v>
      </c>
      <c r="L407" s="40">
        <f t="shared" si="235"/>
        <v>0.1799380104120345</v>
      </c>
      <c r="M407" s="39">
        <f t="shared" si="236"/>
        <v>14294575.846167451</v>
      </c>
      <c r="N407" s="40">
        <f t="shared" si="237"/>
        <v>0.1305461514605295</v>
      </c>
      <c r="O407" s="16">
        <f t="shared" si="238"/>
        <v>8.5843921933527551E-2</v>
      </c>
      <c r="P407" s="18"/>
      <c r="Q407" s="18">
        <f t="shared" si="232"/>
        <v>235734412.47472623</v>
      </c>
    </row>
    <row r="408" spans="1:17" ht="16" x14ac:dyDescent="0.2">
      <c r="A408" s="258"/>
      <c r="B408" s="14" t="s">
        <v>8</v>
      </c>
      <c r="C408" s="2">
        <f t="shared" si="226"/>
        <v>1418509607.1338189</v>
      </c>
      <c r="D408" s="2">
        <f t="shared" si="227"/>
        <v>523355571.71441019</v>
      </c>
      <c r="E408" s="4">
        <f t="shared" si="228"/>
        <v>403351249.91708487</v>
      </c>
      <c r="F408" s="18">
        <f>'Opt 3 - Tier Allocation'!Q382</f>
        <v>491802785.50232381</v>
      </c>
      <c r="G408" s="1">
        <f t="shared" si="229"/>
        <v>0.71565137952637525</v>
      </c>
      <c r="H408" s="1">
        <f t="shared" si="230"/>
        <v>0.2843486204736248</v>
      </c>
      <c r="I408" s="39">
        <f t="shared" si="233"/>
        <v>2</v>
      </c>
      <c r="J408" s="41">
        <f t="shared" si="231"/>
        <v>1.9999999799999998E-2</v>
      </c>
      <c r="K408" s="4">
        <f t="shared" si="234"/>
        <v>9836055.6116859186</v>
      </c>
      <c r="L408" s="40">
        <f t="shared" si="235"/>
        <v>0.29273558467517796</v>
      </c>
      <c r="M408" s="39">
        <f t="shared" si="236"/>
        <v>23255403.393810328</v>
      </c>
      <c r="N408" s="40">
        <f t="shared" si="237"/>
        <v>0.21238149675759965</v>
      </c>
      <c r="O408" s="16">
        <f t="shared" si="238"/>
        <v>6.7286034119747554E-2</v>
      </c>
      <c r="P408" s="18"/>
      <c r="Q408" s="18">
        <f t="shared" si="232"/>
        <v>524894244.50782007</v>
      </c>
    </row>
    <row r="409" spans="1:17" ht="16" x14ac:dyDescent="0.2">
      <c r="A409" s="258"/>
      <c r="B409" s="14" t="s">
        <v>9</v>
      </c>
      <c r="C409" s="2">
        <f t="shared" si="226"/>
        <v>144432018.40592226</v>
      </c>
      <c r="D409" s="2">
        <f t="shared" si="227"/>
        <v>62268915.262482889</v>
      </c>
      <c r="E409" s="4">
        <f t="shared" si="228"/>
        <v>3498337.1639011651</v>
      </c>
      <c r="F409" s="18">
        <f>'Opt 3 - Tier Allocation'!Q383</f>
        <v>78664765.979538217</v>
      </c>
      <c r="G409" s="1">
        <f t="shared" si="229"/>
        <v>0.97577865903618977</v>
      </c>
      <c r="H409" s="1">
        <f t="shared" si="230"/>
        <v>2.4221340963810279E-2</v>
      </c>
      <c r="I409" s="39">
        <f t="shared" si="233"/>
        <v>1</v>
      </c>
      <c r="J409" s="41">
        <f t="shared" si="231"/>
        <v>1.9999999799999998E-2</v>
      </c>
      <c r="K409" s="4">
        <f t="shared" si="234"/>
        <v>1573295.303857811</v>
      </c>
      <c r="L409" s="40">
        <f t="shared" si="235"/>
        <v>4.0851228800192589E-2</v>
      </c>
      <c r="M409" s="39">
        <f t="shared" si="236"/>
        <v>1227848.4957254829</v>
      </c>
      <c r="N409" s="40">
        <f t="shared" si="237"/>
        <v>1.1213406918718622E-2</v>
      </c>
      <c r="O409" s="16">
        <f t="shared" si="238"/>
        <v>3.5608620513940252E-2</v>
      </c>
      <c r="P409" s="18"/>
      <c r="Q409" s="18">
        <f t="shared" si="232"/>
        <v>81465909.779121518</v>
      </c>
    </row>
    <row r="410" spans="1:17" ht="16" x14ac:dyDescent="0.2">
      <c r="A410" s="258"/>
      <c r="B410" s="14" t="s">
        <v>10</v>
      </c>
      <c r="C410" s="2">
        <f t="shared" si="226"/>
        <v>1937183939.0848622</v>
      </c>
      <c r="D410" s="2">
        <f t="shared" si="227"/>
        <v>1284433978.2409167</v>
      </c>
      <c r="E410" s="4">
        <f t="shared" si="228"/>
        <v>185459768.64521533</v>
      </c>
      <c r="F410" s="18">
        <f>'Opt 3 - Tier Allocation'!Q384</f>
        <v>467290192.19873017</v>
      </c>
      <c r="G410" s="1">
        <f t="shared" si="229"/>
        <v>0.9042632117150281</v>
      </c>
      <c r="H410" s="1">
        <f t="shared" si="230"/>
        <v>9.5736788284971883E-2</v>
      </c>
      <c r="I410" s="39">
        <f t="shared" si="233"/>
        <v>1</v>
      </c>
      <c r="J410" s="41">
        <f t="shared" si="231"/>
        <v>1.9999999799999998E-2</v>
      </c>
      <c r="K410" s="4">
        <f t="shared" si="234"/>
        <v>9345803.7505165637</v>
      </c>
      <c r="L410" s="40">
        <f t="shared" si="235"/>
        <v>0.16146775063645141</v>
      </c>
      <c r="M410" s="39">
        <f t="shared" si="236"/>
        <v>4853169.4284361303</v>
      </c>
      <c r="N410" s="40">
        <f t="shared" si="237"/>
        <v>4.4321888112412951E-2</v>
      </c>
      <c r="O410" s="16">
        <f t="shared" si="238"/>
        <v>3.0385771873667155E-2</v>
      </c>
      <c r="P410" s="18"/>
      <c r="Q410" s="18">
        <f t="shared" si="232"/>
        <v>481489165.37768286</v>
      </c>
    </row>
    <row r="411" spans="1:17" ht="16" x14ac:dyDescent="0.2">
      <c r="A411" s="258"/>
      <c r="B411" s="14" t="s">
        <v>11</v>
      </c>
      <c r="C411" s="2">
        <f t="shared" si="226"/>
        <v>304435488.47251314</v>
      </c>
      <c r="D411" s="2">
        <f t="shared" si="227"/>
        <v>106350555.64330204</v>
      </c>
      <c r="E411" s="4">
        <f t="shared" si="228"/>
        <v>34020807.594609946</v>
      </c>
      <c r="F411" s="18">
        <f>'Opt 3 - Tier Allocation'!Q385</f>
        <v>164064125.23460117</v>
      </c>
      <c r="G411" s="1">
        <f t="shared" si="229"/>
        <v>0.88824953435847009</v>
      </c>
      <c r="H411" s="1">
        <f t="shared" si="230"/>
        <v>0.11175046564152988</v>
      </c>
      <c r="I411" s="39">
        <f t="shared" si="233"/>
        <v>1</v>
      </c>
      <c r="J411" s="41">
        <f t="shared" si="231"/>
        <v>1.9999999799999998E-2</v>
      </c>
      <c r="K411" s="4">
        <f t="shared" si="234"/>
        <v>3281282.4718791978</v>
      </c>
      <c r="L411" s="40">
        <f t="shared" si="235"/>
        <v>0.18847609829988748</v>
      </c>
      <c r="M411" s="39">
        <f t="shared" si="236"/>
        <v>5664948.1686248342</v>
      </c>
      <c r="N411" s="40">
        <f t="shared" si="237"/>
        <v>5.1735510699719413E-2</v>
      </c>
      <c r="O411" s="16">
        <f t="shared" si="238"/>
        <v>5.4528865635381875E-2</v>
      </c>
      <c r="P411" s="18"/>
      <c r="Q411" s="18">
        <f t="shared" si="232"/>
        <v>173010355.8751052</v>
      </c>
    </row>
    <row r="412" spans="1:17" ht="16" x14ac:dyDescent="0.2">
      <c r="A412" s="258"/>
      <c r="B412" s="14"/>
      <c r="C412" s="2"/>
      <c r="D412" s="2"/>
      <c r="E412" s="4"/>
      <c r="F412" s="18"/>
      <c r="G412" s="1"/>
      <c r="H412" s="1"/>
      <c r="I412" s="39"/>
      <c r="J412" s="39"/>
      <c r="K412" s="39"/>
      <c r="L412" s="39"/>
      <c r="M412" s="39"/>
      <c r="N412" s="39"/>
      <c r="O412" s="16"/>
      <c r="P412" s="16"/>
      <c r="Q412" s="16"/>
    </row>
    <row r="413" spans="1:17" x14ac:dyDescent="0.2">
      <c r="A413" s="258"/>
      <c r="B413" s="15" t="s">
        <v>14</v>
      </c>
      <c r="C413" s="30">
        <f>SUM(C400:C411)</f>
        <v>6959558364.6028252</v>
      </c>
      <c r="D413" s="30">
        <f>SUM(D400:D411)</f>
        <v>3052775394.099082</v>
      </c>
      <c r="E413" s="30">
        <f>SUM(E400:E411)</f>
        <v>1169326596.882405</v>
      </c>
      <c r="F413" s="30">
        <f>SUM(F400:F411)</f>
        <v>2737456373.6213384</v>
      </c>
      <c r="G413" s="11">
        <f>1-H413</f>
        <v>0.83198264377956155</v>
      </c>
      <c r="H413" s="11">
        <f>MAX(0,E413/C413)</f>
        <v>0.16801735622043848</v>
      </c>
      <c r="I413" s="11"/>
      <c r="J413" s="11"/>
      <c r="K413" s="30">
        <f>SUM(K400:K411)</f>
        <v>54749126.92493549</v>
      </c>
      <c r="L413" s="11"/>
      <c r="M413" s="30">
        <f>SUM(M400:M411)</f>
        <v>109498255.49234518</v>
      </c>
      <c r="N413" s="11"/>
      <c r="O413" s="16"/>
      <c r="P413" s="16"/>
      <c r="Q413" s="30">
        <f>SUM(Q400:Q411)</f>
        <v>2901703756.038619</v>
      </c>
    </row>
    <row r="414" spans="1:17" x14ac:dyDescent="0.2">
      <c r="G414" s="21">
        <f>SUM(G400:G411)</f>
        <v>10.435734458473309</v>
      </c>
      <c r="H414" s="21">
        <f>SUM(H400:H411)</f>
        <v>1.5642655415266922</v>
      </c>
      <c r="I414" s="21"/>
      <c r="J414" s="21"/>
      <c r="K414" s="21"/>
      <c r="L414" s="21"/>
      <c r="M414" s="21"/>
      <c r="N414" s="21"/>
      <c r="O414" s="21"/>
      <c r="P414" s="21"/>
      <c r="Q414" s="21"/>
    </row>
  </sheetData>
  <mergeCells count="32">
    <mergeCell ref="A399:A413"/>
    <mergeCell ref="A339:A346"/>
    <mergeCell ref="A347:A361"/>
    <mergeCell ref="A365:A372"/>
    <mergeCell ref="A373:A387"/>
    <mergeCell ref="A391:A398"/>
    <mergeCell ref="A295:A309"/>
    <mergeCell ref="A321:A335"/>
    <mergeCell ref="A287:A294"/>
    <mergeCell ref="A313:A320"/>
    <mergeCell ref="A87:A101"/>
    <mergeCell ref="A113:A127"/>
    <mergeCell ref="A139:A153"/>
    <mergeCell ref="A165:A179"/>
    <mergeCell ref="A191:A205"/>
    <mergeCell ref="A217:A231"/>
    <mergeCell ref="A209:A216"/>
    <mergeCell ref="A235:A242"/>
    <mergeCell ref="A261:A268"/>
    <mergeCell ref="A243:A257"/>
    <mergeCell ref="A269:A283"/>
    <mergeCell ref="A131:A138"/>
    <mergeCell ref="A157:A164"/>
    <mergeCell ref="A183:A190"/>
    <mergeCell ref="A1:A8"/>
    <mergeCell ref="A9:A23"/>
    <mergeCell ref="A27:A34"/>
    <mergeCell ref="A35:A49"/>
    <mergeCell ref="A53:A60"/>
    <mergeCell ref="A61:A75"/>
    <mergeCell ref="A79:A86"/>
    <mergeCell ref="A105:A112"/>
  </mergeCells>
  <conditionalFormatting sqref="G10:G22">
    <cfRule type="colorScale" priority="4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6:G48">
    <cfRule type="colorScale" priority="3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2:G74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8:G100">
    <cfRule type="colorScale" priority="3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4:G126">
    <cfRule type="colorScale" priority="3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40:G152">
    <cfRule type="colorScale" priority="3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66:G178">
    <cfRule type="colorScale" priority="3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92:G204">
    <cfRule type="colorScale" priority="3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18:G230">
    <cfRule type="colorScale" priority="3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44:G256">
    <cfRule type="colorScale" priority="3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70:G282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96:G308">
    <cfRule type="colorScale" priority="3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22:G334"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48:G360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74:G386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00:G412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:H22 I23:J23 L23 N23">
    <cfRule type="colorScale" priority="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6:H48 I49:J49 L49 N49">
    <cfRule type="colorScale" priority="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2:H74 I75:J75 L75 N75">
    <cfRule type="colorScale" priority="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88:H100 I101:J101 L101 N101">
    <cfRule type="colorScale" priority="3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4:H126 I127:J127 L127 N127">
    <cfRule type="colorScale" priority="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40:H152 I153:J153 L153 N153">
    <cfRule type="colorScale" priority="3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66:H178 I179:J179 L179 N179">
    <cfRule type="colorScale" priority="3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92:H204 I205:J205 L205 N205">
    <cfRule type="colorScale" priority="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18:H230 I231:J231 L231 N231">
    <cfRule type="colorScale" priority="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44:H256 I257:J257 L257 N257">
    <cfRule type="colorScale" priority="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70:H282 I283:J283 L283 N283">
    <cfRule type="colorScale" priority="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96:H308 I309:J309 L309 N309">
    <cfRule type="colorScale" priority="3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22:H334 I335:J335 L335 N335">
    <cfRule type="colorScale" priority="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48:H360 I361:J361 L361 N361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74:H386 I387:J387 L387 N387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00:H412 I413:J413 L413 N413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3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1:AK2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1:AK4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58:AK58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84:AK84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10:AK110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36:AK136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62:AK162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88:AK188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14:AK214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40:AK240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66:AK266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92:AK292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18:AK31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44:AK344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70:AK37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96:AK396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3">
    <cfRule type="colorScale" priority="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43"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3">
    <cfRule type="colorScale" priority="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3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3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43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3"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43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3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3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3"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4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4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557FB-D15D-0843-9DCD-8C19777B652B}">
  <dimension ref="B2:G17"/>
  <sheetViews>
    <sheetView zoomScale="150" zoomScaleNormal="150" workbookViewId="0">
      <selection activeCell="B20" sqref="B20"/>
    </sheetView>
  </sheetViews>
  <sheetFormatPr baseColWidth="10" defaultRowHeight="15" x14ac:dyDescent="0.2"/>
  <sheetData>
    <row r="2" spans="2:7" x14ac:dyDescent="0.2">
      <c r="C2" s="259" t="s">
        <v>78</v>
      </c>
      <c r="D2" s="259"/>
      <c r="E2" s="259" t="s">
        <v>79</v>
      </c>
      <c r="F2" s="259"/>
    </row>
    <row r="3" spans="2:7" x14ac:dyDescent="0.2">
      <c r="B3">
        <v>2011</v>
      </c>
      <c r="C3">
        <v>288.39999999999998</v>
      </c>
      <c r="E3">
        <v>225.3</v>
      </c>
    </row>
    <row r="4" spans="2:7" x14ac:dyDescent="0.2">
      <c r="B4">
        <v>2012</v>
      </c>
      <c r="C4">
        <v>293.2</v>
      </c>
      <c r="D4" s="16">
        <f>(C4-C3)/C3</f>
        <v>1.664355062413319E-2</v>
      </c>
      <c r="E4">
        <v>231.9</v>
      </c>
      <c r="F4" s="16">
        <f>(E4-E3)/E3</f>
        <v>2.9294274300932063E-2</v>
      </c>
      <c r="G4" s="20">
        <f>F4-D4</f>
        <v>1.2650723676798873E-2</v>
      </c>
    </row>
    <row r="5" spans="2:7" x14ac:dyDescent="0.2">
      <c r="B5">
        <v>2013</v>
      </c>
      <c r="C5">
        <v>297.8</v>
      </c>
      <c r="D5" s="16">
        <f t="shared" ref="D5:D14" si="0">(C5-C4)/C4</f>
        <v>1.568894952251031E-2</v>
      </c>
      <c r="E5">
        <v>235.7</v>
      </c>
      <c r="F5" s="16">
        <f t="shared" ref="F5:F14" si="1">(E5-E4)/E4</f>
        <v>1.6386373436826144E-2</v>
      </c>
      <c r="G5" s="20">
        <f t="shared" ref="G5:G14" si="2">F5-D5</f>
        <v>6.9742391431583395E-4</v>
      </c>
    </row>
    <row r="6" spans="2:7" x14ac:dyDescent="0.2">
      <c r="B6">
        <v>2014</v>
      </c>
      <c r="C6">
        <v>306.7</v>
      </c>
      <c r="D6" s="16">
        <f t="shared" si="0"/>
        <v>2.9885829415715166E-2</v>
      </c>
      <c r="E6">
        <v>239.4</v>
      </c>
      <c r="F6" s="16">
        <f t="shared" si="1"/>
        <v>1.5697921086126505E-2</v>
      </c>
      <c r="G6" s="20">
        <f t="shared" si="2"/>
        <v>-1.4187908329588661E-2</v>
      </c>
    </row>
    <row r="7" spans="2:7" x14ac:dyDescent="0.2">
      <c r="B7">
        <v>2015</v>
      </c>
      <c r="C7">
        <v>312.89999999999998</v>
      </c>
      <c r="D7" s="16">
        <f t="shared" si="0"/>
        <v>2.0215194000652068E-2</v>
      </c>
      <c r="E7">
        <v>241.1</v>
      </c>
      <c r="F7" s="16">
        <f t="shared" si="1"/>
        <v>7.1010860484544223E-3</v>
      </c>
      <c r="G7" s="20">
        <f t="shared" si="2"/>
        <v>-1.3114107952197645E-2</v>
      </c>
    </row>
    <row r="8" spans="2:7" x14ac:dyDescent="0.2">
      <c r="B8">
        <v>2016</v>
      </c>
      <c r="C8">
        <v>317.7</v>
      </c>
      <c r="D8" s="16">
        <f t="shared" si="0"/>
        <v>1.5340364333652962E-2</v>
      </c>
      <c r="E8">
        <v>242.8</v>
      </c>
      <c r="F8" s="16">
        <f t="shared" si="1"/>
        <v>7.0510161758607099E-3</v>
      </c>
      <c r="G8" s="20">
        <f t="shared" si="2"/>
        <v>-8.2893481577922517E-3</v>
      </c>
    </row>
    <row r="9" spans="2:7" x14ac:dyDescent="0.2">
      <c r="B9">
        <v>2017</v>
      </c>
      <c r="C9">
        <v>327.39999999999998</v>
      </c>
      <c r="D9" s="16">
        <f t="shared" si="0"/>
        <v>3.0531948378973842E-2</v>
      </c>
      <c r="E9">
        <v>247.2</v>
      </c>
      <c r="F9" s="16">
        <f t="shared" si="1"/>
        <v>1.8121911037891174E-2</v>
      </c>
      <c r="G9" s="20">
        <f t="shared" si="2"/>
        <v>-1.2410037341082668E-2</v>
      </c>
    </row>
    <row r="10" spans="2:7" x14ac:dyDescent="0.2">
      <c r="B10">
        <v>2018</v>
      </c>
      <c r="C10">
        <v>336.1</v>
      </c>
      <c r="D10" s="16">
        <f t="shared" si="0"/>
        <v>2.6572999389126592E-2</v>
      </c>
      <c r="E10">
        <v>252.8</v>
      </c>
      <c r="F10" s="16">
        <f t="shared" si="1"/>
        <v>2.2653721682847988E-2</v>
      </c>
      <c r="G10" s="20">
        <f t="shared" si="2"/>
        <v>-3.9192777062786038E-3</v>
      </c>
    </row>
    <row r="11" spans="2:7" x14ac:dyDescent="0.2">
      <c r="B11">
        <v>2019</v>
      </c>
      <c r="C11">
        <v>346</v>
      </c>
      <c r="D11" s="16">
        <f t="shared" si="0"/>
        <v>2.945551919071698E-2</v>
      </c>
      <c r="E11">
        <v>258</v>
      </c>
      <c r="F11" s="16">
        <f t="shared" si="1"/>
        <v>2.056962025316451E-2</v>
      </c>
      <c r="G11" s="20">
        <f t="shared" si="2"/>
        <v>-8.8858989375524694E-3</v>
      </c>
    </row>
    <row r="12" spans="2:7" x14ac:dyDescent="0.2">
      <c r="B12">
        <v>2020</v>
      </c>
      <c r="C12">
        <v>352.7</v>
      </c>
      <c r="D12" s="16">
        <f t="shared" si="0"/>
        <v>1.9364161849710949E-2</v>
      </c>
      <c r="E12">
        <v>262.2</v>
      </c>
      <c r="F12" s="16">
        <f t="shared" si="1"/>
        <v>1.6279069767441815E-2</v>
      </c>
      <c r="G12" s="20">
        <f t="shared" si="2"/>
        <v>-3.0850920822691336E-3</v>
      </c>
    </row>
    <row r="13" spans="2:7" x14ac:dyDescent="0.2">
      <c r="B13">
        <v>2021</v>
      </c>
      <c r="C13">
        <v>362.3</v>
      </c>
      <c r="D13" s="16">
        <f t="shared" si="0"/>
        <v>2.7218599376240497E-2</v>
      </c>
      <c r="E13">
        <v>268.10000000000002</v>
      </c>
      <c r="F13" s="16">
        <f t="shared" si="1"/>
        <v>2.2501906941266341E-2</v>
      </c>
      <c r="G13" s="20">
        <f t="shared" si="2"/>
        <v>-4.7166924349741554E-3</v>
      </c>
    </row>
    <row r="14" spans="2:7" x14ac:dyDescent="0.2">
      <c r="B14">
        <v>2022</v>
      </c>
      <c r="C14">
        <v>381.1</v>
      </c>
      <c r="D14" s="16">
        <f t="shared" si="0"/>
        <v>5.1890698316312475E-2</v>
      </c>
      <c r="E14">
        <v>287.3</v>
      </c>
      <c r="F14" s="16">
        <f t="shared" si="1"/>
        <v>7.1615069004102902E-2</v>
      </c>
      <c r="G14" s="20">
        <f t="shared" si="2"/>
        <v>1.9724370687790427E-2</v>
      </c>
    </row>
    <row r="16" spans="2:7" x14ac:dyDescent="0.2">
      <c r="C16">
        <f>(C14-C3)/C3</f>
        <v>0.32142857142857162</v>
      </c>
      <c r="E16">
        <f>(E14-E3)/E3</f>
        <v>0.27518863737239235</v>
      </c>
      <c r="G16" s="20">
        <f>SUM(G4:G14)</f>
        <v>-3.5535844662830454E-2</v>
      </c>
    </row>
    <row r="17" spans="3:7" x14ac:dyDescent="0.2">
      <c r="C17">
        <f>C16/COUNT(C3:C14)</f>
        <v>2.6785714285714302E-2</v>
      </c>
      <c r="E17">
        <f>E16/COUNT(E3:E14)</f>
        <v>2.2932386447699363E-2</v>
      </c>
      <c r="G17" s="20">
        <f>MEDIAN(G4:G14)</f>
        <v>-4.7166924349741554E-3</v>
      </c>
    </row>
  </sheetData>
  <mergeCells count="2">
    <mergeCell ref="C2:D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Options Comparison</vt:lpstr>
      <vt:lpstr>Scenario Comparison</vt:lpstr>
      <vt:lpstr>Pell Allocation</vt:lpstr>
      <vt:lpstr>Dyanmic Summary</vt:lpstr>
      <vt:lpstr>Model -Guard + Adeq $ and %</vt:lpstr>
      <vt:lpstr>Sheet2</vt:lpstr>
      <vt:lpstr>Opt 1 - Guard + Adeq %</vt:lpstr>
      <vt:lpstr>Opt 3 - Tier Allocation</vt:lpstr>
      <vt:lpstr>CPI vs HEPI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Moss</dc:creator>
  <cp:lastModifiedBy>Will Carroll</cp:lastModifiedBy>
  <dcterms:created xsi:type="dcterms:W3CDTF">2023-02-15T15:41:21Z</dcterms:created>
  <dcterms:modified xsi:type="dcterms:W3CDTF">2024-01-12T02:53:20Z</dcterms:modified>
</cp:coreProperties>
</file>